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2202"/>
  <workbookPr showInkAnnotation="0" autoCompressPictures="0"/>
  <bookViews>
    <workbookView xWindow="740" yWindow="6700" windowWidth="28560" windowHeight="9740" tabRatio="500"/>
  </bookViews>
  <sheets>
    <sheet name="Sheet1" sheetId="1" r:id="rId1"/>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AA206" i="1" l="1"/>
  <c r="X206" i="1"/>
  <c r="W206" i="1"/>
  <c r="J206" i="1"/>
  <c r="AA205" i="1"/>
  <c r="X205" i="1"/>
  <c r="W205" i="1"/>
  <c r="J205" i="1"/>
  <c r="J204" i="1"/>
  <c r="AA204" i="1"/>
  <c r="Z204" i="1"/>
  <c r="Y204" i="1"/>
  <c r="X204" i="1"/>
  <c r="W204" i="1"/>
  <c r="J203" i="1"/>
  <c r="AA203" i="1"/>
  <c r="Z203" i="1"/>
  <c r="Y203" i="1"/>
  <c r="X203" i="1"/>
  <c r="W203" i="1"/>
  <c r="J202" i="1"/>
  <c r="AA202" i="1"/>
  <c r="Z202" i="1"/>
  <c r="Y202" i="1"/>
  <c r="X202" i="1"/>
  <c r="W202" i="1"/>
  <c r="J201" i="1"/>
  <c r="AA201" i="1"/>
  <c r="Z201" i="1"/>
  <c r="Y201" i="1"/>
  <c r="X201" i="1"/>
  <c r="W201" i="1"/>
  <c r="J200" i="1"/>
  <c r="AA200" i="1"/>
  <c r="Z200" i="1"/>
  <c r="Y200" i="1"/>
  <c r="X200" i="1"/>
  <c r="W200" i="1"/>
  <c r="J199" i="1"/>
  <c r="AA199" i="1"/>
  <c r="Z199" i="1"/>
  <c r="Y199" i="1"/>
  <c r="X199" i="1"/>
  <c r="W199" i="1"/>
  <c r="J198" i="1"/>
  <c r="AA198" i="1"/>
  <c r="Z198" i="1"/>
  <c r="Y198" i="1"/>
  <c r="X198" i="1"/>
  <c r="W198" i="1"/>
  <c r="J197" i="1"/>
  <c r="AA197" i="1"/>
  <c r="Z197" i="1"/>
  <c r="Y197" i="1"/>
  <c r="X197" i="1"/>
  <c r="W197" i="1"/>
  <c r="J196" i="1"/>
  <c r="AA196" i="1"/>
  <c r="Z196" i="1"/>
  <c r="Y196" i="1"/>
  <c r="X196" i="1"/>
  <c r="W196" i="1"/>
  <c r="J195" i="1"/>
  <c r="AA195" i="1"/>
  <c r="Z195" i="1"/>
  <c r="Y195" i="1"/>
  <c r="X195" i="1"/>
  <c r="W195" i="1"/>
  <c r="J194" i="1"/>
  <c r="AA194" i="1"/>
  <c r="Z194" i="1"/>
  <c r="Y194" i="1"/>
  <c r="X194" i="1"/>
  <c r="W194" i="1"/>
  <c r="J193" i="1"/>
  <c r="AA193" i="1"/>
  <c r="Z193" i="1"/>
  <c r="Y193" i="1"/>
  <c r="X193" i="1"/>
  <c r="W193" i="1"/>
  <c r="J192" i="1"/>
  <c r="AA192" i="1"/>
  <c r="Z192" i="1"/>
  <c r="Y192" i="1"/>
  <c r="X192" i="1"/>
  <c r="W192" i="1"/>
  <c r="J191" i="1"/>
  <c r="AA191" i="1"/>
  <c r="Z191" i="1"/>
  <c r="Y191" i="1"/>
  <c r="X191" i="1"/>
  <c r="W191" i="1"/>
  <c r="J190" i="1"/>
  <c r="AA190" i="1"/>
  <c r="Z190" i="1"/>
  <c r="Y190" i="1"/>
  <c r="X190" i="1"/>
  <c r="W190" i="1"/>
  <c r="J189" i="1"/>
  <c r="AA189" i="1"/>
  <c r="Z189" i="1"/>
  <c r="Y189" i="1"/>
  <c r="X189" i="1"/>
  <c r="W189" i="1"/>
  <c r="J188" i="1"/>
  <c r="AA188" i="1"/>
  <c r="Z188" i="1"/>
  <c r="Y188" i="1"/>
  <c r="X188" i="1"/>
  <c r="W188" i="1"/>
  <c r="J187" i="1"/>
  <c r="AA187" i="1"/>
  <c r="Z187" i="1"/>
  <c r="Y187" i="1"/>
  <c r="X187" i="1"/>
  <c r="W187" i="1"/>
  <c r="J186" i="1"/>
  <c r="AA186" i="1"/>
  <c r="Z186" i="1"/>
  <c r="Y186" i="1"/>
  <c r="X186" i="1"/>
  <c r="W186" i="1"/>
  <c r="J185" i="1"/>
  <c r="AA185" i="1"/>
  <c r="Z185" i="1"/>
  <c r="Y185" i="1"/>
  <c r="X185" i="1"/>
  <c r="W185" i="1"/>
  <c r="J184" i="1"/>
  <c r="AA184" i="1"/>
  <c r="Z184" i="1"/>
  <c r="Y184" i="1"/>
  <c r="X184" i="1"/>
  <c r="W184" i="1"/>
  <c r="J183" i="1"/>
  <c r="AA183" i="1"/>
  <c r="Z183" i="1"/>
  <c r="Y183" i="1"/>
  <c r="X183" i="1"/>
  <c r="W183" i="1"/>
  <c r="J182" i="1"/>
  <c r="AA182" i="1"/>
  <c r="Z182" i="1"/>
  <c r="Y182" i="1"/>
  <c r="X182" i="1"/>
  <c r="W182" i="1"/>
  <c r="J181" i="1"/>
  <c r="AA181" i="1"/>
  <c r="Z181" i="1"/>
  <c r="Y181" i="1"/>
  <c r="X181" i="1"/>
  <c r="W181" i="1"/>
  <c r="J180" i="1"/>
  <c r="AA180" i="1"/>
  <c r="Z180" i="1"/>
  <c r="Y180" i="1"/>
  <c r="X180" i="1"/>
  <c r="W180" i="1"/>
  <c r="J179" i="1"/>
  <c r="AA179" i="1"/>
  <c r="Z179" i="1"/>
  <c r="Y179" i="1"/>
  <c r="X179" i="1"/>
  <c r="W179" i="1"/>
  <c r="J178" i="1"/>
  <c r="AA178" i="1"/>
  <c r="Z178" i="1"/>
  <c r="Y178" i="1"/>
  <c r="X178" i="1"/>
  <c r="W178" i="1"/>
  <c r="J177" i="1"/>
  <c r="AA177" i="1"/>
  <c r="Z177" i="1"/>
  <c r="Y177" i="1"/>
  <c r="X177" i="1"/>
  <c r="W177" i="1"/>
  <c r="J176" i="1"/>
  <c r="AA176" i="1"/>
  <c r="Z176" i="1"/>
  <c r="Y176" i="1"/>
  <c r="X176" i="1"/>
  <c r="W176" i="1"/>
  <c r="J175" i="1"/>
  <c r="AA175" i="1"/>
  <c r="Z175" i="1"/>
  <c r="Y175" i="1"/>
  <c r="X175" i="1"/>
  <c r="W175" i="1"/>
  <c r="J174" i="1"/>
  <c r="AA174" i="1"/>
  <c r="Z174" i="1"/>
  <c r="Y174" i="1"/>
  <c r="X174" i="1"/>
  <c r="W174" i="1"/>
  <c r="J173" i="1"/>
  <c r="AA173" i="1"/>
  <c r="Z173" i="1"/>
  <c r="Y173" i="1"/>
  <c r="X173" i="1"/>
  <c r="W173" i="1"/>
  <c r="J172" i="1"/>
  <c r="AA172" i="1"/>
  <c r="Z172" i="1"/>
  <c r="Y172" i="1"/>
  <c r="X172" i="1"/>
  <c r="W172" i="1"/>
  <c r="J171" i="1"/>
  <c r="AA171" i="1"/>
  <c r="Z171" i="1"/>
  <c r="Y171" i="1"/>
  <c r="X171" i="1"/>
  <c r="W171" i="1"/>
  <c r="J170" i="1"/>
  <c r="AA170" i="1"/>
  <c r="Z170" i="1"/>
  <c r="Y170" i="1"/>
  <c r="X170" i="1"/>
  <c r="W170" i="1"/>
  <c r="AA169" i="1"/>
  <c r="Z169" i="1"/>
  <c r="Y169" i="1"/>
  <c r="X169" i="1"/>
  <c r="W169" i="1"/>
  <c r="J168" i="1"/>
  <c r="AA168" i="1"/>
  <c r="Z168" i="1"/>
  <c r="Y168" i="1"/>
  <c r="X168" i="1"/>
  <c r="W168" i="1"/>
  <c r="J167" i="1"/>
  <c r="AA167" i="1"/>
  <c r="Z167" i="1"/>
  <c r="Y167" i="1"/>
  <c r="X167" i="1"/>
  <c r="W167" i="1"/>
  <c r="J166" i="1"/>
  <c r="AA166" i="1"/>
  <c r="Z166" i="1"/>
  <c r="Y166" i="1"/>
  <c r="X166" i="1"/>
  <c r="W166" i="1"/>
  <c r="J165" i="1"/>
  <c r="AA165" i="1"/>
  <c r="Z165" i="1"/>
  <c r="Y165" i="1"/>
  <c r="X165" i="1"/>
  <c r="W165" i="1"/>
  <c r="J164" i="1"/>
  <c r="AA164" i="1"/>
  <c r="Z164" i="1"/>
  <c r="Y164" i="1"/>
  <c r="X164" i="1"/>
  <c r="W164" i="1"/>
  <c r="J163" i="1"/>
  <c r="AA163" i="1"/>
  <c r="Z163" i="1"/>
  <c r="Y163" i="1"/>
  <c r="X163" i="1"/>
  <c r="W163" i="1"/>
  <c r="J162" i="1"/>
  <c r="AA162" i="1"/>
  <c r="Z162" i="1"/>
  <c r="Y162" i="1"/>
  <c r="X162" i="1"/>
  <c r="W162" i="1"/>
  <c r="J161" i="1"/>
  <c r="AA161" i="1"/>
  <c r="Z161" i="1"/>
  <c r="Y161" i="1"/>
  <c r="X161" i="1"/>
  <c r="W161" i="1"/>
  <c r="J160" i="1"/>
  <c r="AA160" i="1"/>
  <c r="Z160" i="1"/>
  <c r="Y160" i="1"/>
  <c r="X160" i="1"/>
  <c r="W160" i="1"/>
  <c r="J159" i="1"/>
  <c r="AA159" i="1"/>
  <c r="Z159" i="1"/>
  <c r="Y159" i="1"/>
  <c r="X159" i="1"/>
  <c r="W159" i="1"/>
  <c r="J158" i="1"/>
  <c r="AA158" i="1"/>
  <c r="Z158" i="1"/>
  <c r="Y158" i="1"/>
  <c r="X158" i="1"/>
  <c r="W158" i="1"/>
  <c r="J157" i="1"/>
  <c r="AA157" i="1"/>
  <c r="Z157" i="1"/>
  <c r="Y157" i="1"/>
  <c r="X157" i="1"/>
  <c r="W157" i="1"/>
  <c r="J156" i="1"/>
  <c r="AA156" i="1"/>
  <c r="Z156" i="1"/>
  <c r="Y156" i="1"/>
  <c r="X156" i="1"/>
  <c r="W156" i="1"/>
  <c r="J155" i="1"/>
  <c r="AA155" i="1"/>
  <c r="Z155" i="1"/>
  <c r="Y155" i="1"/>
  <c r="X155" i="1"/>
  <c r="W155" i="1"/>
  <c r="J154" i="1"/>
  <c r="AA154" i="1"/>
  <c r="Z154" i="1"/>
  <c r="Y154" i="1"/>
  <c r="X154" i="1"/>
  <c r="W154" i="1"/>
  <c r="J153" i="1"/>
  <c r="AA153" i="1"/>
  <c r="Z153" i="1"/>
  <c r="Y153" i="1"/>
  <c r="X153" i="1"/>
  <c r="W153" i="1"/>
  <c r="J152" i="1"/>
  <c r="AA152" i="1"/>
  <c r="Z152" i="1"/>
  <c r="Y152" i="1"/>
  <c r="X152" i="1"/>
  <c r="W152" i="1"/>
  <c r="J151" i="1"/>
  <c r="AA151" i="1"/>
  <c r="Z151" i="1"/>
  <c r="Y151" i="1"/>
  <c r="X151" i="1"/>
  <c r="W151" i="1"/>
  <c r="J150" i="1"/>
  <c r="AA150" i="1"/>
  <c r="Z150" i="1"/>
  <c r="Y150" i="1"/>
  <c r="X150" i="1"/>
  <c r="W150" i="1"/>
  <c r="J149" i="1"/>
  <c r="AA149" i="1"/>
  <c r="Z149" i="1"/>
  <c r="Y149" i="1"/>
  <c r="X149" i="1"/>
  <c r="P149" i="1"/>
  <c r="W149" i="1"/>
  <c r="V149" i="1"/>
  <c r="J148" i="1"/>
  <c r="AA148" i="1"/>
  <c r="Z148" i="1"/>
  <c r="Y148" i="1"/>
  <c r="X148" i="1"/>
  <c r="P148" i="1"/>
  <c r="W148" i="1"/>
  <c r="J147" i="1"/>
  <c r="AA147" i="1"/>
  <c r="Z147" i="1"/>
  <c r="Y147" i="1"/>
  <c r="X147" i="1"/>
  <c r="W147" i="1"/>
  <c r="J146" i="1"/>
  <c r="AA146" i="1"/>
  <c r="Z146" i="1"/>
  <c r="Y146" i="1"/>
  <c r="X146" i="1"/>
  <c r="W146" i="1"/>
  <c r="J145" i="1"/>
  <c r="AA145" i="1"/>
  <c r="Z145" i="1"/>
  <c r="Y145" i="1"/>
  <c r="X145" i="1"/>
  <c r="P145" i="1"/>
  <c r="W145" i="1"/>
  <c r="J144" i="1"/>
  <c r="AA144" i="1"/>
  <c r="Z144" i="1"/>
  <c r="Y144" i="1"/>
  <c r="Q144" i="1"/>
  <c r="X144" i="1"/>
  <c r="P144" i="1"/>
  <c r="W144" i="1"/>
  <c r="U143" i="1"/>
  <c r="J143" i="1"/>
  <c r="AA143" i="1"/>
  <c r="Z143" i="1"/>
  <c r="Y143" i="1"/>
  <c r="X143" i="1"/>
  <c r="P143" i="1"/>
  <c r="W143" i="1"/>
  <c r="V143" i="1"/>
  <c r="J142" i="1"/>
  <c r="AA142" i="1"/>
  <c r="Z142" i="1"/>
  <c r="R142" i="1"/>
  <c r="Y142" i="1"/>
  <c r="Q142" i="1"/>
  <c r="X142" i="1"/>
  <c r="P142" i="1"/>
  <c r="W142" i="1"/>
  <c r="V142" i="1"/>
  <c r="J141" i="1"/>
  <c r="AA141" i="1"/>
  <c r="Z141" i="1"/>
  <c r="Y141" i="1"/>
  <c r="X141" i="1"/>
  <c r="P141" i="1"/>
  <c r="W141" i="1"/>
  <c r="J140" i="1"/>
  <c r="AA140" i="1"/>
  <c r="Z140" i="1"/>
  <c r="Y140" i="1"/>
  <c r="X140" i="1"/>
  <c r="P140" i="1"/>
  <c r="W140" i="1"/>
  <c r="J139" i="1"/>
  <c r="AA139" i="1"/>
  <c r="Z139" i="1"/>
  <c r="Y139" i="1"/>
  <c r="Q139" i="1"/>
  <c r="X139" i="1"/>
  <c r="P139" i="1"/>
  <c r="W139" i="1"/>
  <c r="J138" i="1"/>
  <c r="AA138" i="1"/>
  <c r="Z138" i="1"/>
  <c r="R138" i="1"/>
  <c r="Y138" i="1"/>
  <c r="Q138" i="1"/>
  <c r="X138" i="1"/>
  <c r="P138" i="1"/>
  <c r="W138" i="1"/>
  <c r="J137" i="1"/>
  <c r="AA137" i="1"/>
  <c r="Z137" i="1"/>
  <c r="Y137" i="1"/>
  <c r="X137" i="1"/>
  <c r="P137" i="1"/>
  <c r="W137" i="1"/>
  <c r="J136" i="1"/>
  <c r="AA136" i="1"/>
  <c r="Z136" i="1"/>
  <c r="Y136" i="1"/>
  <c r="X136" i="1"/>
  <c r="P136" i="1"/>
  <c r="W136" i="1"/>
  <c r="J135" i="1"/>
  <c r="AA135" i="1"/>
  <c r="Z135" i="1"/>
  <c r="Y135" i="1"/>
  <c r="X135" i="1"/>
  <c r="P135" i="1"/>
  <c r="W135" i="1"/>
  <c r="J134" i="1"/>
  <c r="AA134" i="1"/>
  <c r="Z134" i="1"/>
  <c r="Y134" i="1"/>
  <c r="Q134" i="1"/>
  <c r="X134" i="1"/>
  <c r="P134" i="1"/>
  <c r="W134" i="1"/>
  <c r="J133" i="1"/>
  <c r="AA133" i="1"/>
  <c r="Z133" i="1"/>
  <c r="Y133" i="1"/>
  <c r="X133" i="1"/>
  <c r="P133" i="1"/>
  <c r="W133" i="1"/>
  <c r="J132" i="1"/>
  <c r="AA132" i="1"/>
  <c r="Z132" i="1"/>
  <c r="Y132" i="1"/>
  <c r="X132" i="1"/>
  <c r="P132" i="1"/>
  <c r="W132" i="1"/>
  <c r="J131" i="1"/>
  <c r="AA131" i="1"/>
  <c r="Z131" i="1"/>
  <c r="Y131" i="1"/>
  <c r="Q131" i="1"/>
  <c r="X131" i="1"/>
  <c r="P131" i="1"/>
  <c r="W131" i="1"/>
  <c r="J130" i="1"/>
  <c r="AA130" i="1"/>
  <c r="Z130" i="1"/>
  <c r="R130" i="1"/>
  <c r="Y130" i="1"/>
  <c r="Q130" i="1"/>
  <c r="X130" i="1"/>
  <c r="P130" i="1"/>
  <c r="W130" i="1"/>
  <c r="J129" i="1"/>
  <c r="AA129" i="1"/>
  <c r="Z129" i="1"/>
  <c r="Y129" i="1"/>
  <c r="Q129" i="1"/>
  <c r="X129" i="1"/>
  <c r="P129" i="1"/>
  <c r="W129" i="1"/>
  <c r="J128" i="1"/>
  <c r="AA128" i="1"/>
  <c r="Z128" i="1"/>
  <c r="R128" i="1"/>
  <c r="Y128" i="1"/>
  <c r="Q128" i="1"/>
  <c r="X128" i="1"/>
  <c r="P128" i="1"/>
  <c r="W128" i="1"/>
  <c r="V128" i="1"/>
  <c r="J127" i="1"/>
  <c r="AA127" i="1"/>
  <c r="Z127" i="1"/>
  <c r="Y127" i="1"/>
  <c r="Q127" i="1"/>
  <c r="X127" i="1"/>
  <c r="P127" i="1"/>
  <c r="W127" i="1"/>
  <c r="J126" i="1"/>
  <c r="AA126" i="1"/>
  <c r="Z126" i="1"/>
  <c r="R126" i="1"/>
  <c r="Y126" i="1"/>
  <c r="Q126" i="1"/>
  <c r="X126" i="1"/>
  <c r="P126" i="1"/>
  <c r="W126" i="1"/>
  <c r="V126" i="1"/>
  <c r="T126" i="1"/>
  <c r="J125" i="1"/>
  <c r="AA125" i="1"/>
  <c r="Z125" i="1"/>
  <c r="R125" i="1"/>
  <c r="Y125" i="1"/>
  <c r="Q125" i="1"/>
  <c r="X125" i="1"/>
  <c r="P125" i="1"/>
  <c r="W125" i="1"/>
  <c r="J124" i="1"/>
  <c r="AA124" i="1"/>
  <c r="Z124" i="1"/>
  <c r="Y124" i="1"/>
  <c r="X124" i="1"/>
  <c r="P124" i="1"/>
  <c r="W124" i="1"/>
  <c r="J123" i="1"/>
  <c r="AA123" i="1"/>
  <c r="Z123" i="1"/>
  <c r="R123" i="1"/>
  <c r="Y123" i="1"/>
  <c r="Q123" i="1"/>
  <c r="X123" i="1"/>
  <c r="P123" i="1"/>
  <c r="W123" i="1"/>
  <c r="V123" i="1"/>
  <c r="J122" i="1"/>
  <c r="AA122" i="1"/>
  <c r="Z122" i="1"/>
  <c r="R122" i="1"/>
  <c r="Y122" i="1"/>
  <c r="Q122" i="1"/>
  <c r="X122" i="1"/>
  <c r="P122" i="1"/>
  <c r="W122" i="1"/>
  <c r="J121" i="1"/>
  <c r="AA121" i="1"/>
  <c r="Z121" i="1"/>
  <c r="Y121" i="1"/>
  <c r="Q121" i="1"/>
  <c r="X121" i="1"/>
  <c r="P121" i="1"/>
  <c r="W121" i="1"/>
  <c r="J120" i="1"/>
  <c r="AA120" i="1"/>
  <c r="Z120" i="1"/>
  <c r="R120" i="1"/>
  <c r="Y120" i="1"/>
  <c r="Q120" i="1"/>
  <c r="X120" i="1"/>
  <c r="P120" i="1"/>
  <c r="W120" i="1"/>
  <c r="J119" i="1"/>
  <c r="AA119" i="1"/>
  <c r="Z119" i="1"/>
  <c r="R119" i="1"/>
  <c r="Y119" i="1"/>
  <c r="Q119" i="1"/>
  <c r="X119" i="1"/>
  <c r="P119" i="1"/>
  <c r="W119" i="1"/>
  <c r="J118" i="1"/>
  <c r="AA118" i="1"/>
  <c r="Z118" i="1"/>
  <c r="Y118" i="1"/>
  <c r="Q118" i="1"/>
  <c r="X118" i="1"/>
  <c r="P118" i="1"/>
  <c r="W118" i="1"/>
  <c r="J117" i="1"/>
  <c r="AA117" i="1"/>
  <c r="Z117" i="1"/>
  <c r="Y117" i="1"/>
  <c r="Q117" i="1"/>
  <c r="X117" i="1"/>
  <c r="P117" i="1"/>
  <c r="W117" i="1"/>
  <c r="J116" i="1"/>
  <c r="AA116" i="1"/>
  <c r="Z116" i="1"/>
  <c r="Y116" i="1"/>
  <c r="X116" i="1"/>
  <c r="W116" i="1"/>
  <c r="J115" i="1"/>
  <c r="AA115" i="1"/>
  <c r="Z115" i="1"/>
  <c r="Y115" i="1"/>
  <c r="X115" i="1"/>
  <c r="W115" i="1"/>
  <c r="J114" i="1"/>
  <c r="AA114" i="1"/>
  <c r="Z114" i="1"/>
  <c r="Y114" i="1"/>
  <c r="X114" i="1"/>
  <c r="W114" i="1"/>
  <c r="J113" i="1"/>
  <c r="AA113" i="1"/>
  <c r="Z113" i="1"/>
  <c r="Y113" i="1"/>
  <c r="X113" i="1"/>
  <c r="W113" i="1"/>
  <c r="J112" i="1"/>
  <c r="AA112" i="1"/>
  <c r="Z112" i="1"/>
  <c r="Y112" i="1"/>
  <c r="X112" i="1"/>
  <c r="W112" i="1"/>
  <c r="J111" i="1"/>
  <c r="AA111" i="1"/>
  <c r="Z111" i="1"/>
  <c r="Y111" i="1"/>
  <c r="X111" i="1"/>
  <c r="P111" i="1"/>
  <c r="W111" i="1"/>
  <c r="J110" i="1"/>
  <c r="AA110" i="1"/>
  <c r="Z110" i="1"/>
  <c r="R110" i="1"/>
  <c r="Y110" i="1"/>
  <c r="Q110" i="1"/>
  <c r="X110" i="1"/>
  <c r="P110" i="1"/>
  <c r="W110" i="1"/>
  <c r="J109" i="1"/>
  <c r="AA109" i="1"/>
  <c r="Z109" i="1"/>
  <c r="Y109" i="1"/>
  <c r="Q109" i="1"/>
  <c r="X109" i="1"/>
  <c r="P109" i="1"/>
  <c r="W109" i="1"/>
  <c r="J108" i="1"/>
  <c r="AA108" i="1"/>
  <c r="Z108" i="1"/>
  <c r="R108" i="1"/>
  <c r="Y108" i="1"/>
  <c r="X108" i="1"/>
  <c r="P108" i="1"/>
  <c r="W108" i="1"/>
  <c r="J107" i="1"/>
  <c r="AA107" i="1"/>
  <c r="Z107" i="1"/>
  <c r="R107" i="1"/>
  <c r="Y107" i="1"/>
  <c r="Q107" i="1"/>
  <c r="X107" i="1"/>
  <c r="P107" i="1"/>
  <c r="W107" i="1"/>
  <c r="T107" i="1"/>
  <c r="J106" i="1"/>
  <c r="AA106" i="1"/>
  <c r="Z106" i="1"/>
  <c r="R106" i="1"/>
  <c r="Y106" i="1"/>
  <c r="Q106" i="1"/>
  <c r="X106" i="1"/>
  <c r="P106" i="1"/>
  <c r="W106" i="1"/>
  <c r="J105" i="1"/>
  <c r="AA105" i="1"/>
  <c r="Z105" i="1"/>
  <c r="Y105" i="1"/>
  <c r="X105" i="1"/>
  <c r="W105" i="1"/>
  <c r="J104" i="1"/>
  <c r="AA104" i="1"/>
  <c r="Z104" i="1"/>
  <c r="Y104" i="1"/>
  <c r="X104" i="1"/>
  <c r="W104" i="1"/>
  <c r="J103" i="1"/>
  <c r="AA103" i="1"/>
  <c r="Z103" i="1"/>
  <c r="Y103" i="1"/>
  <c r="X103" i="1"/>
  <c r="W103" i="1"/>
  <c r="J102" i="1"/>
  <c r="AA102" i="1"/>
  <c r="Z102" i="1"/>
  <c r="Y102" i="1"/>
  <c r="X102" i="1"/>
  <c r="W102" i="1"/>
  <c r="J101" i="1"/>
  <c r="AA101" i="1"/>
  <c r="Z101" i="1"/>
  <c r="Y101" i="1"/>
  <c r="X101" i="1"/>
  <c r="W101" i="1"/>
  <c r="J100" i="1"/>
  <c r="AA100" i="1"/>
  <c r="Z100" i="1"/>
  <c r="Y100" i="1"/>
  <c r="X100" i="1"/>
  <c r="W100" i="1"/>
  <c r="J99" i="1"/>
  <c r="AA99" i="1"/>
  <c r="Z99" i="1"/>
  <c r="Y99" i="1"/>
  <c r="X99" i="1"/>
  <c r="W99" i="1"/>
  <c r="J98" i="1"/>
  <c r="AA98" i="1"/>
  <c r="Z98" i="1"/>
  <c r="Y98" i="1"/>
  <c r="X98" i="1"/>
  <c r="W98" i="1"/>
  <c r="J97" i="1"/>
  <c r="AA97" i="1"/>
  <c r="Z97" i="1"/>
  <c r="Y97" i="1"/>
  <c r="X97" i="1"/>
  <c r="W97" i="1"/>
  <c r="J96" i="1"/>
  <c r="AA96" i="1"/>
  <c r="Z96" i="1"/>
  <c r="Y96" i="1"/>
  <c r="X96" i="1"/>
  <c r="W96" i="1"/>
  <c r="J95" i="1"/>
  <c r="AA95" i="1"/>
  <c r="Z95" i="1"/>
  <c r="Y95" i="1"/>
  <c r="X95" i="1"/>
  <c r="W95" i="1"/>
  <c r="J94" i="1"/>
  <c r="AA94" i="1"/>
  <c r="Z94" i="1"/>
  <c r="Y94" i="1"/>
  <c r="X94" i="1"/>
  <c r="W94" i="1"/>
  <c r="J93" i="1"/>
  <c r="AA93" i="1"/>
  <c r="Z93" i="1"/>
  <c r="Y93" i="1"/>
  <c r="X93" i="1"/>
  <c r="W93" i="1"/>
  <c r="J92" i="1"/>
  <c r="AA92" i="1"/>
  <c r="Z92" i="1"/>
  <c r="Y92" i="1"/>
  <c r="X92" i="1"/>
  <c r="W92" i="1"/>
  <c r="J91" i="1"/>
  <c r="AA91" i="1"/>
  <c r="Z91" i="1"/>
  <c r="Y91" i="1"/>
  <c r="X91" i="1"/>
  <c r="W91" i="1"/>
  <c r="J90" i="1"/>
  <c r="AA90" i="1"/>
  <c r="Z90" i="1"/>
  <c r="Y90" i="1"/>
  <c r="X90" i="1"/>
  <c r="W90" i="1"/>
  <c r="J89" i="1"/>
  <c r="AA89" i="1"/>
  <c r="Z89" i="1"/>
  <c r="Y89" i="1"/>
  <c r="X89" i="1"/>
  <c r="W89" i="1"/>
  <c r="J88" i="1"/>
  <c r="AA88" i="1"/>
  <c r="Z88" i="1"/>
  <c r="Y88" i="1"/>
  <c r="X88" i="1"/>
  <c r="W88" i="1"/>
  <c r="J87" i="1"/>
  <c r="AA87" i="1"/>
  <c r="Z87" i="1"/>
  <c r="Y87" i="1"/>
  <c r="X87" i="1"/>
  <c r="W87" i="1"/>
  <c r="J86" i="1"/>
  <c r="AA86" i="1"/>
  <c r="Z86" i="1"/>
  <c r="Y86" i="1"/>
  <c r="X86" i="1"/>
  <c r="W86" i="1"/>
  <c r="J85" i="1"/>
  <c r="AA85" i="1"/>
  <c r="Z85" i="1"/>
  <c r="Y85" i="1"/>
  <c r="X85" i="1"/>
  <c r="W85" i="1"/>
  <c r="J84" i="1"/>
  <c r="AA84" i="1"/>
  <c r="Z84" i="1"/>
  <c r="Y84" i="1"/>
  <c r="X84" i="1"/>
  <c r="W84" i="1"/>
  <c r="J83" i="1"/>
  <c r="AA83" i="1"/>
  <c r="Z83" i="1"/>
  <c r="Y83" i="1"/>
  <c r="X83" i="1"/>
  <c r="W83" i="1"/>
  <c r="J82" i="1"/>
  <c r="AA82" i="1"/>
  <c r="Z82" i="1"/>
  <c r="Y82" i="1"/>
  <c r="X82" i="1"/>
  <c r="W82" i="1"/>
  <c r="J81" i="1"/>
  <c r="AA81" i="1"/>
  <c r="Z81" i="1"/>
  <c r="Y81" i="1"/>
  <c r="X81" i="1"/>
  <c r="W81" i="1"/>
  <c r="J80" i="1"/>
  <c r="AA80" i="1"/>
  <c r="Z80" i="1"/>
  <c r="Y80" i="1"/>
  <c r="X80" i="1"/>
  <c r="W80" i="1"/>
  <c r="J79" i="1"/>
  <c r="AA79" i="1"/>
  <c r="Z79" i="1"/>
  <c r="Y79" i="1"/>
  <c r="X79" i="1"/>
  <c r="W79" i="1"/>
  <c r="J78" i="1"/>
  <c r="AA78" i="1"/>
  <c r="Z78" i="1"/>
  <c r="Y78" i="1"/>
  <c r="X78" i="1"/>
  <c r="W78" i="1"/>
  <c r="J77" i="1"/>
  <c r="AA77" i="1"/>
  <c r="Z77" i="1"/>
  <c r="Y77" i="1"/>
  <c r="X77" i="1"/>
  <c r="W77" i="1"/>
  <c r="J76" i="1"/>
  <c r="AA76" i="1"/>
  <c r="Z76" i="1"/>
  <c r="Y76" i="1"/>
  <c r="X76" i="1"/>
  <c r="W76" i="1"/>
  <c r="J75" i="1"/>
  <c r="AA75" i="1"/>
  <c r="Z75" i="1"/>
  <c r="Y75" i="1"/>
  <c r="X75" i="1"/>
  <c r="W75" i="1"/>
  <c r="J74" i="1"/>
  <c r="AA74" i="1"/>
  <c r="Z74" i="1"/>
  <c r="Y74" i="1"/>
  <c r="X74" i="1"/>
  <c r="W74" i="1"/>
  <c r="J73" i="1"/>
  <c r="AA73" i="1"/>
  <c r="Z73" i="1"/>
  <c r="Y73" i="1"/>
  <c r="X73" i="1"/>
  <c r="W73" i="1"/>
  <c r="J72" i="1"/>
  <c r="AA72" i="1"/>
  <c r="Z72" i="1"/>
  <c r="Y72" i="1"/>
  <c r="X72" i="1"/>
  <c r="W72" i="1"/>
  <c r="J71" i="1"/>
  <c r="AA71" i="1"/>
  <c r="Z71" i="1"/>
  <c r="Y71" i="1"/>
  <c r="X71" i="1"/>
  <c r="W71" i="1"/>
  <c r="J70" i="1"/>
  <c r="AA70" i="1"/>
  <c r="Z70" i="1"/>
  <c r="Y70" i="1"/>
  <c r="X70" i="1"/>
  <c r="W70" i="1"/>
  <c r="J69" i="1"/>
  <c r="AA69" i="1"/>
  <c r="Z69" i="1"/>
  <c r="Y69" i="1"/>
  <c r="X69" i="1"/>
  <c r="W69" i="1"/>
  <c r="J68" i="1"/>
  <c r="AA68" i="1"/>
  <c r="Z68" i="1"/>
  <c r="Y68" i="1"/>
  <c r="X68" i="1"/>
  <c r="W68" i="1"/>
  <c r="J67" i="1"/>
  <c r="AA67" i="1"/>
  <c r="Z67" i="1"/>
  <c r="Y67" i="1"/>
  <c r="X67" i="1"/>
  <c r="W67" i="1"/>
  <c r="J66" i="1"/>
  <c r="AA66" i="1"/>
  <c r="Z66" i="1"/>
  <c r="Y66" i="1"/>
  <c r="X66" i="1"/>
  <c r="W66" i="1"/>
  <c r="J65" i="1"/>
  <c r="AA65" i="1"/>
  <c r="Z65" i="1"/>
  <c r="Y65" i="1"/>
  <c r="X65" i="1"/>
  <c r="W65" i="1"/>
  <c r="J64" i="1"/>
  <c r="AA64" i="1"/>
  <c r="Z64" i="1"/>
  <c r="Y64" i="1"/>
  <c r="X64" i="1"/>
  <c r="W64" i="1"/>
  <c r="J63" i="1"/>
  <c r="AA63" i="1"/>
  <c r="Z63" i="1"/>
  <c r="Y63" i="1"/>
  <c r="X63" i="1"/>
  <c r="W63" i="1"/>
  <c r="J62" i="1"/>
  <c r="AA62" i="1"/>
  <c r="Z62" i="1"/>
  <c r="Y62" i="1"/>
  <c r="X62" i="1"/>
  <c r="W62" i="1"/>
  <c r="J61" i="1"/>
  <c r="AA61" i="1"/>
  <c r="Z61" i="1"/>
  <c r="Y61" i="1"/>
  <c r="X61" i="1"/>
  <c r="W61" i="1"/>
  <c r="J60" i="1"/>
  <c r="AA60" i="1"/>
  <c r="Z60" i="1"/>
  <c r="Y60" i="1"/>
  <c r="X60" i="1"/>
  <c r="W60" i="1"/>
  <c r="J59" i="1"/>
  <c r="AA59" i="1"/>
  <c r="Z59" i="1"/>
  <c r="Y59" i="1"/>
  <c r="X59" i="1"/>
  <c r="W59" i="1"/>
  <c r="J58" i="1"/>
  <c r="AA58" i="1"/>
  <c r="Z58" i="1"/>
  <c r="Y58" i="1"/>
  <c r="X58" i="1"/>
  <c r="W58" i="1"/>
  <c r="J57" i="1"/>
  <c r="AA57" i="1"/>
  <c r="Z57" i="1"/>
  <c r="Y57" i="1"/>
  <c r="X57" i="1"/>
  <c r="W57" i="1"/>
  <c r="J56" i="1"/>
  <c r="AA56" i="1"/>
  <c r="Z56" i="1"/>
  <c r="Y56" i="1"/>
  <c r="X56" i="1"/>
  <c r="W56" i="1"/>
  <c r="J55" i="1"/>
  <c r="AA55" i="1"/>
  <c r="Z55" i="1"/>
  <c r="Y55" i="1"/>
  <c r="X55" i="1"/>
  <c r="W55" i="1"/>
  <c r="J54" i="1"/>
  <c r="AA54" i="1"/>
  <c r="Z54" i="1"/>
  <c r="Y54" i="1"/>
  <c r="X54" i="1"/>
  <c r="W54" i="1"/>
  <c r="J53" i="1"/>
  <c r="AA53" i="1"/>
  <c r="Z53" i="1"/>
  <c r="Y53" i="1"/>
  <c r="X53" i="1"/>
  <c r="W53" i="1"/>
  <c r="J52" i="1"/>
  <c r="AA52" i="1"/>
  <c r="Z52" i="1"/>
  <c r="Y52" i="1"/>
  <c r="X52" i="1"/>
  <c r="W52" i="1"/>
  <c r="J51" i="1"/>
  <c r="AA51" i="1"/>
  <c r="Z51" i="1"/>
  <c r="Y51" i="1"/>
  <c r="X51" i="1"/>
  <c r="W51" i="1"/>
  <c r="J50" i="1"/>
  <c r="AA50" i="1"/>
  <c r="Z50" i="1"/>
  <c r="Y50" i="1"/>
  <c r="X50" i="1"/>
  <c r="W50" i="1"/>
  <c r="J49" i="1"/>
  <c r="AA49" i="1"/>
  <c r="Z49" i="1"/>
  <c r="Y49" i="1"/>
  <c r="X49" i="1"/>
  <c r="W49" i="1"/>
  <c r="J48" i="1"/>
  <c r="AA48" i="1"/>
  <c r="Z48" i="1"/>
  <c r="Y48" i="1"/>
  <c r="X48" i="1"/>
  <c r="W48" i="1"/>
  <c r="J47" i="1"/>
  <c r="AA47" i="1"/>
  <c r="Z47" i="1"/>
  <c r="Y47" i="1"/>
  <c r="X47" i="1"/>
  <c r="W47" i="1"/>
  <c r="J46" i="1"/>
  <c r="AA46" i="1"/>
  <c r="Z46" i="1"/>
  <c r="Y46" i="1"/>
  <c r="X46" i="1"/>
  <c r="W46" i="1"/>
  <c r="J45" i="1"/>
  <c r="AA45" i="1"/>
  <c r="Z45" i="1"/>
  <c r="Y45" i="1"/>
  <c r="X45" i="1"/>
  <c r="W45" i="1"/>
  <c r="J44" i="1"/>
  <c r="AA44" i="1"/>
  <c r="Z44" i="1"/>
  <c r="Y44" i="1"/>
  <c r="X44" i="1"/>
  <c r="W44" i="1"/>
  <c r="J43" i="1"/>
  <c r="AA43" i="1"/>
  <c r="Z43" i="1"/>
  <c r="Y43" i="1"/>
  <c r="X43" i="1"/>
  <c r="W43" i="1"/>
  <c r="J42" i="1"/>
  <c r="AA42" i="1"/>
  <c r="Z42" i="1"/>
  <c r="Y42" i="1"/>
  <c r="X42" i="1"/>
  <c r="W42" i="1"/>
  <c r="J41" i="1"/>
  <c r="AA41" i="1"/>
  <c r="Z41" i="1"/>
  <c r="Y41" i="1"/>
  <c r="X41" i="1"/>
  <c r="W41" i="1"/>
  <c r="J40" i="1"/>
  <c r="AA40" i="1"/>
  <c r="Z40" i="1"/>
  <c r="Y40" i="1"/>
  <c r="X40" i="1"/>
  <c r="W40" i="1"/>
  <c r="J39" i="1"/>
  <c r="AA39" i="1"/>
  <c r="Z39" i="1"/>
  <c r="Y39" i="1"/>
  <c r="X39" i="1"/>
  <c r="W39" i="1"/>
  <c r="J38" i="1"/>
  <c r="AA38" i="1"/>
  <c r="Z38" i="1"/>
  <c r="Y38" i="1"/>
  <c r="X38" i="1"/>
  <c r="W38" i="1"/>
  <c r="J37" i="1"/>
  <c r="AA37" i="1"/>
  <c r="Z37" i="1"/>
  <c r="Y37" i="1"/>
  <c r="X37" i="1"/>
  <c r="W37" i="1"/>
  <c r="J36" i="1"/>
  <c r="AA36" i="1"/>
  <c r="Z36" i="1"/>
  <c r="Y36" i="1"/>
  <c r="X36" i="1"/>
  <c r="W36" i="1"/>
  <c r="J35" i="1"/>
  <c r="AA35" i="1"/>
  <c r="Z35" i="1"/>
  <c r="Y35" i="1"/>
  <c r="X35" i="1"/>
  <c r="W35" i="1"/>
  <c r="J34" i="1"/>
  <c r="AA34" i="1"/>
  <c r="Z34" i="1"/>
  <c r="Y34" i="1"/>
  <c r="X34" i="1"/>
  <c r="W34" i="1"/>
  <c r="J33" i="1"/>
  <c r="AA33" i="1"/>
  <c r="Z33" i="1"/>
  <c r="Y33" i="1"/>
  <c r="X33" i="1"/>
  <c r="W33" i="1"/>
  <c r="J32" i="1"/>
  <c r="AA32" i="1"/>
  <c r="Z32" i="1"/>
  <c r="Y32" i="1"/>
  <c r="X32" i="1"/>
  <c r="W32" i="1"/>
  <c r="J31" i="1"/>
  <c r="AA31" i="1"/>
  <c r="Z31" i="1"/>
  <c r="Y31" i="1"/>
  <c r="X31" i="1"/>
  <c r="W31" i="1"/>
  <c r="J30" i="1"/>
  <c r="AA30" i="1"/>
  <c r="Z30" i="1"/>
  <c r="Y30" i="1"/>
  <c r="X30" i="1"/>
  <c r="W30" i="1"/>
  <c r="J29" i="1"/>
  <c r="AA29" i="1"/>
  <c r="Z29" i="1"/>
  <c r="Y29" i="1"/>
  <c r="X29" i="1"/>
  <c r="W29" i="1"/>
  <c r="J28" i="1"/>
  <c r="AA28" i="1"/>
  <c r="Z28" i="1"/>
  <c r="Y28" i="1"/>
  <c r="X28" i="1"/>
  <c r="W28" i="1"/>
  <c r="J27" i="1"/>
  <c r="AA27" i="1"/>
  <c r="Z27" i="1"/>
  <c r="Y27" i="1"/>
  <c r="X27" i="1"/>
  <c r="W27" i="1"/>
  <c r="J26" i="1"/>
  <c r="AA26" i="1"/>
  <c r="Z26" i="1"/>
  <c r="Y26" i="1"/>
  <c r="X26" i="1"/>
  <c r="W26" i="1"/>
  <c r="J25" i="1"/>
  <c r="AA25" i="1"/>
  <c r="Z25" i="1"/>
  <c r="Y25" i="1"/>
  <c r="X25" i="1"/>
  <c r="W25" i="1"/>
  <c r="J24" i="1"/>
  <c r="AA24" i="1"/>
  <c r="Z24" i="1"/>
  <c r="Y24" i="1"/>
  <c r="X24" i="1"/>
  <c r="W24" i="1"/>
  <c r="J23" i="1"/>
  <c r="AA23" i="1"/>
  <c r="Z23" i="1"/>
  <c r="Y23" i="1"/>
  <c r="X23" i="1"/>
  <c r="W23" i="1"/>
  <c r="J22" i="1"/>
  <c r="AA22" i="1"/>
  <c r="Z22" i="1"/>
  <c r="Y22" i="1"/>
  <c r="X22" i="1"/>
  <c r="W22" i="1"/>
  <c r="J21" i="1"/>
  <c r="AA21" i="1"/>
  <c r="Z21" i="1"/>
  <c r="Y21" i="1"/>
  <c r="X21" i="1"/>
  <c r="W21" i="1"/>
  <c r="J20" i="1"/>
  <c r="AA20" i="1"/>
  <c r="Z20" i="1"/>
  <c r="Y20" i="1"/>
  <c r="X20" i="1"/>
  <c r="W20" i="1"/>
  <c r="J19" i="1"/>
  <c r="AA19" i="1"/>
  <c r="Z19" i="1"/>
  <c r="Y19" i="1"/>
  <c r="X19" i="1"/>
  <c r="W19" i="1"/>
  <c r="J18" i="1"/>
  <c r="AA18" i="1"/>
  <c r="Z18" i="1"/>
  <c r="Y18" i="1"/>
  <c r="X18" i="1"/>
  <c r="W18" i="1"/>
  <c r="J17" i="1"/>
  <c r="AA17" i="1"/>
  <c r="Z17" i="1"/>
  <c r="Y17" i="1"/>
  <c r="X17" i="1"/>
  <c r="W17" i="1"/>
  <c r="J16" i="1"/>
  <c r="AA16" i="1"/>
  <c r="Z16" i="1"/>
  <c r="Y16" i="1"/>
  <c r="X16" i="1"/>
  <c r="W16" i="1"/>
  <c r="J15" i="1"/>
  <c r="AA15" i="1"/>
  <c r="Z15" i="1"/>
  <c r="Y15" i="1"/>
  <c r="X15" i="1"/>
  <c r="W15" i="1"/>
  <c r="J14" i="1"/>
  <c r="AA14" i="1"/>
  <c r="Z14" i="1"/>
  <c r="Y14" i="1"/>
  <c r="X14" i="1"/>
  <c r="W14" i="1"/>
  <c r="J13" i="1"/>
  <c r="AA13" i="1"/>
  <c r="Z13" i="1"/>
  <c r="Y13" i="1"/>
  <c r="X13" i="1"/>
  <c r="W13" i="1"/>
  <c r="J12" i="1"/>
  <c r="AA12" i="1"/>
  <c r="Z12" i="1"/>
  <c r="Y12" i="1"/>
  <c r="X12" i="1"/>
  <c r="W12" i="1"/>
  <c r="J11" i="1"/>
  <c r="AA11" i="1"/>
  <c r="Z11" i="1"/>
  <c r="Y11" i="1"/>
  <c r="X11" i="1"/>
  <c r="W11" i="1"/>
  <c r="J10" i="1"/>
  <c r="AA10" i="1"/>
  <c r="Z10" i="1"/>
  <c r="Y10" i="1"/>
  <c r="X10" i="1"/>
  <c r="W10" i="1"/>
  <c r="J9" i="1"/>
  <c r="AA9" i="1"/>
  <c r="Z9" i="1"/>
  <c r="Y9" i="1"/>
  <c r="X9" i="1"/>
  <c r="W9" i="1"/>
  <c r="J8" i="1"/>
  <c r="AA8" i="1"/>
  <c r="Z8" i="1"/>
  <c r="Y8" i="1"/>
  <c r="X8" i="1"/>
  <c r="W8" i="1"/>
  <c r="AA7" i="1"/>
  <c r="Z7" i="1"/>
  <c r="Y7" i="1"/>
  <c r="X7" i="1"/>
  <c r="W7" i="1"/>
</calcChain>
</file>

<file path=xl/comments1.xml><?xml version="1.0" encoding="utf-8"?>
<comments xmlns="http://schemas.openxmlformats.org/spreadsheetml/2006/main">
  <authors>
    <author>McKibbin, Chris@DFG</author>
    <author>Julienne, Jason@Wildlife</author>
  </authors>
  <commentList>
    <comment ref="A4" authorId="0">
      <text>
        <r>
          <rPr>
            <sz val="9"/>
            <color indexed="81"/>
            <rFont val="Tahoma"/>
            <family val="2"/>
          </rPr>
          <t xml:space="preserve">Date sampling effort began.
</t>
        </r>
      </text>
    </comment>
    <comment ref="B4" authorId="0">
      <text>
        <r>
          <rPr>
            <sz val="9"/>
            <color indexed="81"/>
            <rFont val="Tahoma"/>
            <family val="2"/>
          </rPr>
          <t xml:space="preserve">Time of day when sampling effort began, recorded in military hours and rounded to the nearest quarter hour.
</t>
        </r>
      </text>
    </comment>
    <comment ref="C4" authorId="0">
      <text>
        <r>
          <rPr>
            <sz val="9"/>
            <color indexed="81"/>
            <rFont val="Tahoma"/>
            <family val="2"/>
          </rPr>
          <t xml:space="preserve">Date when sampling effort stopped.
</t>
        </r>
      </text>
    </comment>
    <comment ref="D4" authorId="0">
      <text>
        <r>
          <rPr>
            <sz val="9"/>
            <color indexed="81"/>
            <rFont val="Tahoma"/>
            <family val="2"/>
          </rPr>
          <t>Time of day when sampling effort stopped, recorded in military hours and rounded to the nearest quarter hour.</t>
        </r>
      </text>
    </comment>
    <comment ref="E4" authorId="0">
      <text>
        <r>
          <rPr>
            <sz val="9"/>
            <color indexed="81"/>
            <rFont val="Tahoma"/>
            <family val="2"/>
          </rPr>
          <t xml:space="preserve">Number of hours since last RST maintenance event. </t>
        </r>
      </text>
    </comment>
    <comment ref="F4" authorId="0">
      <text>
        <r>
          <rPr>
            <sz val="9"/>
            <color indexed="81"/>
            <rFont val="Tahoma"/>
            <family val="2"/>
          </rPr>
          <t>The average of each RST cone revolutions per minute (RPM) calculated using the previous trap maintenance value and the most recent trap maintenance value.  If cones are stopped upon arrival then this value is determined using the RPM'S from the previous maintenance event. 8.3 and 8.4 are trap designations.</t>
        </r>
      </text>
    </comment>
    <comment ref="H4" authorId="0">
      <text>
        <r>
          <rPr>
            <sz val="9"/>
            <color indexed="81"/>
            <rFont val="Tahoma"/>
            <family val="2"/>
          </rPr>
          <t xml:space="preserve">Total cone revolutions upon arrival to service the trap. </t>
        </r>
      </text>
    </comment>
    <comment ref="J4" authorId="0">
      <text>
        <r>
          <rPr>
            <sz val="9"/>
            <color indexed="81"/>
            <rFont val="Tahoma"/>
            <family val="2"/>
          </rPr>
          <t xml:space="preserve">Total number of hours fished for both traps based on the equation: Hours fished = (total cone revolutions/RPM's)/60. Hours fished for both traps are then combined to express total effort at the sampling site.  note: RPM's between trap checks may vary due to flow, debris loading, and algae growth. </t>
        </r>
      </text>
    </comment>
    <comment ref="T4" authorId="0">
      <text>
        <r>
          <rPr>
            <sz val="9"/>
            <color indexed="81"/>
            <rFont val="Tahoma"/>
            <family val="2"/>
          </rPr>
          <t>Number of marked (adipose fin-clipped) Chinook salmon captured.</t>
        </r>
      </text>
    </comment>
    <comment ref="U4" authorId="0">
      <text>
        <r>
          <rPr>
            <sz val="9"/>
            <color indexed="81"/>
            <rFont val="Tahoma"/>
            <family val="2"/>
          </rPr>
          <t xml:space="preserve">Number of unmarked steelhead captured.
</t>
        </r>
      </text>
    </comment>
    <comment ref="V4" authorId="0">
      <text>
        <r>
          <rPr>
            <sz val="9"/>
            <color indexed="81"/>
            <rFont val="Tahoma"/>
            <family val="2"/>
          </rPr>
          <t xml:space="preserve">Number of marked (adipose fin-clipped) steelhead captured.
</t>
        </r>
      </text>
    </comment>
    <comment ref="W4" authorId="0">
      <text>
        <r>
          <rPr>
            <sz val="9"/>
            <color indexed="81"/>
            <rFont val="Tahoma"/>
            <family val="2"/>
          </rPr>
          <t>Catch per unit effort (CPUE) does not include marked salmonids (adipose fin clipped fish).</t>
        </r>
      </text>
    </comment>
    <comment ref="K5" authorId="0">
      <text>
        <r>
          <rPr>
            <sz val="9"/>
            <color indexed="81"/>
            <rFont val="Tahoma"/>
            <family val="2"/>
          </rPr>
          <t>Flow data provided by California Department of Water Resources, California Data Exchange Center, Wilkins Slough gauge (WLK).  http://cdec.water.ca.gov/cgi-progs/queryF?s=WLK</t>
        </r>
      </text>
    </comment>
    <comment ref="L5" authorId="0">
      <text>
        <r>
          <rPr>
            <sz val="9"/>
            <color indexed="81"/>
            <rFont val="Tahoma"/>
            <family val="2"/>
          </rPr>
          <t>Instantaneous water temperature measurements are taken once per trap maintenance event and recorded in Fahrenheit units.</t>
        </r>
      </text>
    </comment>
    <comment ref="M5" authorId="0">
      <text>
        <r>
          <rPr>
            <sz val="9"/>
            <color indexed="81"/>
            <rFont val="Tahoma"/>
            <family val="2"/>
          </rPr>
          <t>NephelometricTurbidity Unit</t>
        </r>
      </text>
    </comment>
    <comment ref="N5" authorId="0">
      <text>
        <r>
          <rPr>
            <sz val="9"/>
            <color indexed="81"/>
            <rFont val="Tahoma"/>
            <family val="2"/>
          </rPr>
          <t>Size of smallest unmarked Chinook salmon captured, measured in millimeters to the nearest fork length.</t>
        </r>
      </text>
    </comment>
    <comment ref="O5" authorId="0">
      <text>
        <r>
          <rPr>
            <sz val="9"/>
            <color indexed="81"/>
            <rFont val="Tahoma"/>
            <family val="2"/>
          </rPr>
          <t>Size of largest unmarked Chinook salmon captured, measured in millimeters to the nearest fork length.</t>
        </r>
      </text>
    </comment>
    <comment ref="P5" authorId="0">
      <text>
        <r>
          <rPr>
            <sz val="9"/>
            <color indexed="81"/>
            <rFont val="Tahoma"/>
            <family val="2"/>
          </rPr>
          <t>Number of unmarked fall-run sized Chinook salmon captured.</t>
        </r>
      </text>
    </comment>
    <comment ref="Q5" authorId="0">
      <text>
        <r>
          <rPr>
            <sz val="9"/>
            <color indexed="81"/>
            <rFont val="Tahoma"/>
            <family val="2"/>
          </rPr>
          <t>Number of unmarked spring-run sized Chinook salmon captured.</t>
        </r>
      </text>
    </comment>
    <comment ref="R5" authorId="0">
      <text>
        <r>
          <rPr>
            <sz val="9"/>
            <color indexed="81"/>
            <rFont val="Tahoma"/>
            <family val="2"/>
          </rPr>
          <t>Number of unmarked winter-run sized Chinook salmon captured.</t>
        </r>
      </text>
    </comment>
    <comment ref="S5" authorId="0">
      <text>
        <r>
          <rPr>
            <sz val="9"/>
            <color indexed="81"/>
            <rFont val="Tahoma"/>
            <family val="2"/>
          </rPr>
          <t>Number of unmarked late fall-run sized Chinook salmon captured.</t>
        </r>
      </text>
    </comment>
    <comment ref="J7" authorId="1">
      <text>
        <r>
          <rPr>
            <b/>
            <sz val="9"/>
            <color indexed="81"/>
            <rFont val="Tahoma"/>
            <family val="2"/>
          </rPr>
          <t>Julienne, Jason@Wildlife:</t>
        </r>
        <r>
          <rPr>
            <sz val="9"/>
            <color indexed="81"/>
            <rFont val="Tahoma"/>
            <family val="2"/>
          </rPr>
          <t xml:space="preserve">
Counter malfuntions; no revolution totals avaliable. Hours calculated at 22 hours fished x 2 traps = 44 total hours fished</t>
        </r>
      </text>
    </comment>
    <comment ref="J8" authorId="1">
      <text>
        <r>
          <rPr>
            <b/>
            <sz val="9"/>
            <color indexed="81"/>
            <rFont val="Tahoma"/>
            <family val="2"/>
          </rPr>
          <t>Julienne, Jason@Wildlife:</t>
        </r>
        <r>
          <rPr>
            <sz val="9"/>
            <color indexed="81"/>
            <rFont val="Tahoma"/>
            <family val="2"/>
          </rPr>
          <t xml:space="preserve">
Counter malfuntions ON 8.3; no revolution totals avaliable. Hours calculated at 21.75 for 8.3</t>
        </r>
      </text>
    </comment>
    <comment ref="J12" authorId="1">
      <text>
        <r>
          <rPr>
            <b/>
            <sz val="9"/>
            <color indexed="81"/>
            <rFont val="Tahoma"/>
            <family val="2"/>
          </rPr>
          <t>Julienne, Jason@Wildlife:</t>
        </r>
        <r>
          <rPr>
            <sz val="9"/>
            <color indexed="81"/>
            <rFont val="Tahoma"/>
            <family val="2"/>
          </rPr>
          <t xml:space="preserve">
Counter malfuntions ON 8.3; no revolution totals avaliable. Hours calculated at 23.5 for 8.3</t>
        </r>
      </text>
    </comment>
  </commentList>
</comments>
</file>

<file path=xl/sharedStrings.xml><?xml version="1.0" encoding="utf-8"?>
<sst xmlns="http://schemas.openxmlformats.org/spreadsheetml/2006/main" count="103" uniqueCount="60">
  <si>
    <t>California Department of Fish and Wildlife - Knights Landing Rotary Screw Trap Daily Catch and Effort Summaries - 2015/2016 Emigration Season</t>
  </si>
  <si>
    <t>Data are Draft and Subject to Revision - Please Direct Inquiries to Jeanine Phillips, (916)215-2152, jeanine.phillips@wildlife.ca.gov</t>
  </si>
  <si>
    <t>Start Date</t>
  </si>
  <si>
    <t>Start Time</t>
  </si>
  <si>
    <t>Stop Date</t>
  </si>
  <si>
    <t>Stop Time</t>
  </si>
  <si>
    <t>Num. of Hours During Sampling Period</t>
  </si>
  <si>
    <t xml:space="preserve">Cone RPM </t>
  </si>
  <si>
    <t>Total Cone Rev.</t>
  </si>
  <si>
    <t xml:space="preserve">Total Hours Fished </t>
  </si>
  <si>
    <t>Environmental Information</t>
  </si>
  <si>
    <t>Unmarked Chinook Catch</t>
  </si>
  <si>
    <t>Marked Chinook Catch</t>
  </si>
  <si>
    <t>Unmarked Steelhead Catch</t>
  </si>
  <si>
    <t>Marked Steelhead Catch</t>
  </si>
  <si>
    <t>Catch Per Unit Effort (catch per hour)</t>
  </si>
  <si>
    <t xml:space="preserve">Comments </t>
  </si>
  <si>
    <t>River Flow (cfs) @ WLK</t>
  </si>
  <si>
    <t>Water T (F)</t>
  </si>
  <si>
    <t>Turbidity (NTU)</t>
  </si>
  <si>
    <t>Min FL</t>
  </si>
  <si>
    <t>Max FL</t>
  </si>
  <si>
    <t># Fall</t>
  </si>
  <si>
    <t># Spring</t>
  </si>
  <si>
    <t># Winter</t>
  </si>
  <si>
    <t># Late fall</t>
  </si>
  <si>
    <t>adipose fin-clipped salmon</t>
  </si>
  <si>
    <t>adipose fin-clipped steelhead</t>
  </si>
  <si>
    <t>Fall-run Chinook</t>
  </si>
  <si>
    <t>Spring-run Chinook</t>
  </si>
  <si>
    <t>Winter-run Chinook</t>
  </si>
  <si>
    <t>Late fall-run Chinook</t>
  </si>
  <si>
    <t>Steelhead</t>
  </si>
  <si>
    <t>1 adult chinook carcass; 80.0cm, female, ad-intact</t>
  </si>
  <si>
    <t>1 adult chinook carcass; 70.0cm, female, ad-intact</t>
  </si>
  <si>
    <t>N/A</t>
  </si>
  <si>
    <t xml:space="preserve">Turbidity meter not functional </t>
  </si>
  <si>
    <t>RST’s modified to half cone configuration, CPUE not comparable to full cone configuration due to reduction in effort</t>
  </si>
  <si>
    <t>-</t>
  </si>
  <si>
    <t>***8.3 not fishing due to equipment malfuntion***</t>
  </si>
  <si>
    <t>Clicker broken, not clicker count avaliable. Used sample period hours for 8.4 in CPUE calclulation. RST’s modified to half cone configuration, CPUE not comparable to full cone configuration due to reduction in effort</t>
  </si>
  <si>
    <t>Clicker malfunction on 8.3.  RST’s modified to half cone configuration, CPUE not comparable to full cone configuration due to reduction in effort</t>
  </si>
  <si>
    <t>Clicker malfunction on 8.3. Used sample period hours for 8.3 in CPUE calclulation. RST’s modified to half cone configuration, CPUE not comparable to full cone configuration due to reduction in effort</t>
  </si>
  <si>
    <t>Clicker malfunction on 8.3.  RST’s modified to half cone configuration. CPUE not comparable to full cone configuration due to reduction in effort.</t>
  </si>
  <si>
    <t>RST’s modified to half cone configuration. CPUE not comparable to full cone configuration due to reduction in effort.</t>
  </si>
  <si>
    <t>RST’s modified to half cone configuration. CPUE not comparable to full cone configuration due to reduction in effort.  Following the trap check, cones were returned to full cone configuration.</t>
  </si>
  <si>
    <t>Full cone operation.</t>
  </si>
  <si>
    <t>632 VIE marked FRCS released @ 10:30 AM 1 mi up-river.</t>
  </si>
  <si>
    <t>476 VIE-marked FRCS were released 1 mi up-river.</t>
  </si>
  <si>
    <t>Trap 8.3 taken out of service for repairs.</t>
  </si>
  <si>
    <t>Clicker malfunctioned on trap 8.4.  Total cone revs should be higher.  Trap 8.3 returned to full cone operation.</t>
  </si>
  <si>
    <t>489 VIE-marked FRCS were released at 11:15 1 mi up-river.</t>
  </si>
  <si>
    <t>Clicker on trap 8.3 inoperative, no replacement available.</t>
  </si>
  <si>
    <t>Clicker on trap 8.3 inoperative.</t>
  </si>
  <si>
    <t>Clicker on trap 8.3 reinstalled.</t>
  </si>
  <si>
    <t>Trapping suspended for both traps due to high debris loads.</t>
  </si>
  <si>
    <t>490 VIE-marked (purple) FRCS were released 1 mi up-river @ 11:10.  RST’s modified to half cone configuration. CPUE not comparable to full cone configuration due to reduction in effort.</t>
  </si>
  <si>
    <t>Full cone configuration.</t>
  </si>
  <si>
    <t xml:space="preserve">488 VIE-marked (orange) FRCS were released 1 mi up-river @ 13:45.  </t>
  </si>
  <si>
    <t xml:space="preserve">470 VIE-marked (purple) FRCS were released 1 mi up-river @ 10:20.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</si>
</sst>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d/yy;@"/>
    <numFmt numFmtId="165" formatCode="0.0"/>
    <numFmt numFmtId="166" formatCode="mm/dd/yy;@"/>
  </numFmts>
  <fonts count="11" x14ac:knownFonts="1">
    <font>
      <sz val="12"/>
      <color theme="1"/>
      <name val="Calibri"/>
      <family val="2"/>
      <scheme val="minor"/>
    </font>
    <font>
      <sz val="10"/>
      <name val="Arial"/>
      <family val="2"/>
    </font>
    <font>
      <b/>
      <sz val="12"/>
      <name val="Arial"/>
      <family val="2"/>
    </font>
    <font>
      <sz val="12"/>
      <name val="Arial"/>
      <family val="2"/>
    </font>
    <font>
      <sz val="11"/>
      <name val="Arial"/>
      <family val="2"/>
    </font>
    <font>
      <b/>
      <sz val="10"/>
      <name val="Arial"/>
      <family val="2"/>
    </font>
    <font>
      <b/>
      <sz val="11"/>
      <name val="Arial"/>
      <family val="2"/>
    </font>
    <font>
      <sz val="9"/>
      <color indexed="81"/>
      <name val="Tahoma"/>
      <family val="2"/>
    </font>
    <font>
      <b/>
      <sz val="9"/>
      <color indexed="81"/>
      <name val="Tahoma"/>
      <family val="2"/>
    </font>
    <font>
      <u/>
      <sz val="12"/>
      <color theme="10"/>
      <name val="Calibri"/>
      <family val="2"/>
      <scheme val="minor"/>
    </font>
    <font>
      <u/>
      <sz val="12"/>
      <color theme="11"/>
      <name val="Calibri"/>
      <family val="2"/>
      <scheme val="minor"/>
    </font>
  </fonts>
  <fills count="5">
    <fill>
      <patternFill patternType="none"/>
    </fill>
    <fill>
      <patternFill patternType="gray125"/>
    </fill>
    <fill>
      <patternFill patternType="solid">
        <fgColor indexed="9"/>
        <bgColor indexed="64"/>
      </patternFill>
    </fill>
    <fill>
      <patternFill patternType="solid">
        <fgColor rgb="FF0070C0"/>
        <bgColor indexed="64"/>
      </patternFill>
    </fill>
    <fill>
      <patternFill patternType="solid">
        <fgColor rgb="FFFFC000"/>
        <bgColor indexed="64"/>
      </patternFill>
    </fill>
  </fills>
  <borders count="18">
    <border>
      <left/>
      <right/>
      <top/>
      <bottom/>
      <diagonal/>
    </border>
    <border>
      <left/>
      <right/>
      <top style="thin">
        <color auto="1"/>
      </top>
      <bottom/>
      <diagonal/>
    </border>
    <border>
      <left/>
      <right style="thin">
        <color auto="1"/>
      </right>
      <top style="thin">
        <color auto="1"/>
      </top>
      <bottom/>
      <diagonal/>
    </border>
    <border>
      <left/>
      <right/>
      <top/>
      <bottom style="medium">
        <color auto="1"/>
      </bottom>
      <diagonal/>
    </border>
    <border>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medium">
        <color auto="1"/>
      </top>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thin">
        <color auto="1"/>
      </top>
      <bottom style="medium">
        <color auto="1"/>
      </bottom>
      <diagonal/>
    </border>
  </borders>
  <cellStyleXfs count="7">
    <xf numFmtId="0" fontId="0" fillId="0" borderId="0"/>
    <xf numFmtId="0" fontId="1" fillId="0" borderId="0"/>
    <xf numFmtId="3" fontId="1"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97">
    <xf numFmtId="0" fontId="0" fillId="0" borderId="0" xfId="0"/>
    <xf numFmtId="164" fontId="2" fillId="2" borderId="1" xfId="1" applyNumberFormat="1" applyFont="1" applyFill="1" applyBorder="1" applyAlignment="1">
      <alignment horizontal="center"/>
    </xf>
    <xf numFmtId="0" fontId="3" fillId="2" borderId="1" xfId="1" applyFont="1" applyFill="1" applyBorder="1" applyAlignment="1">
      <alignment horizontal="center"/>
    </xf>
    <xf numFmtId="0" fontId="1" fillId="2" borderId="2" xfId="1" applyFont="1" applyFill="1" applyBorder="1"/>
    <xf numFmtId="0" fontId="4" fillId="0" borderId="0" xfId="0" applyFont="1"/>
    <xf numFmtId="0" fontId="5" fillId="2" borderId="0" xfId="1" applyFont="1" applyFill="1" applyBorder="1" applyAlignment="1">
      <alignment horizontal="center"/>
    </xf>
    <xf numFmtId="0" fontId="1" fillId="2" borderId="0" xfId="1" applyFont="1" applyFill="1" applyBorder="1" applyAlignment="1">
      <alignment horizontal="center"/>
    </xf>
    <xf numFmtId="0" fontId="1" fillId="2" borderId="4" xfId="1" applyFont="1" applyFill="1" applyBorder="1"/>
    <xf numFmtId="164" fontId="5" fillId="3" borderId="5" xfId="1" applyNumberFormat="1" applyFont="1" applyFill="1" applyBorder="1" applyAlignment="1"/>
    <xf numFmtId="0" fontId="5" fillId="3" borderId="6" xfId="1" applyNumberFormat="1" applyFont="1" applyFill="1" applyBorder="1" applyAlignment="1"/>
    <xf numFmtId="0" fontId="5" fillId="3" borderId="6" xfId="1" applyFont="1" applyFill="1" applyBorder="1" applyAlignment="1"/>
    <xf numFmtId="2" fontId="5" fillId="3" borderId="6" xfId="1" applyNumberFormat="1" applyFont="1" applyFill="1" applyBorder="1" applyAlignment="1"/>
    <xf numFmtId="165" fontId="5" fillId="3" borderId="6" xfId="1" applyNumberFormat="1" applyFont="1" applyFill="1" applyBorder="1" applyAlignment="1"/>
    <xf numFmtId="1" fontId="5" fillId="3" borderId="6" xfId="1" applyNumberFormat="1" applyFont="1" applyFill="1" applyBorder="1" applyAlignment="1"/>
    <xf numFmtId="2" fontId="5" fillId="3" borderId="7" xfId="1" applyNumberFormat="1" applyFont="1" applyFill="1" applyBorder="1" applyAlignment="1"/>
    <xf numFmtId="4" fontId="5" fillId="3" borderId="6" xfId="1" applyNumberFormat="1" applyFont="1" applyFill="1" applyBorder="1" applyAlignment="1"/>
    <xf numFmtId="0" fontId="5" fillId="3" borderId="6" xfId="1" applyFont="1" applyFill="1" applyBorder="1" applyAlignment="1">
      <alignment horizontal="center"/>
    </xf>
    <xf numFmtId="0" fontId="5" fillId="3" borderId="8" xfId="1" applyFont="1" applyFill="1" applyBorder="1" applyAlignment="1"/>
    <xf numFmtId="0" fontId="6" fillId="2" borderId="13" xfId="1" applyFont="1" applyFill="1" applyBorder="1" applyAlignment="1">
      <alignment horizontal="center" vertical="center"/>
    </xf>
    <xf numFmtId="0" fontId="6" fillId="2" borderId="13" xfId="1" applyFont="1" applyFill="1" applyBorder="1" applyAlignment="1">
      <alignment horizontal="center" vertical="center" wrapText="1"/>
    </xf>
    <xf numFmtId="165" fontId="1" fillId="2" borderId="14" xfId="1" applyNumberFormat="1" applyFont="1" applyFill="1" applyBorder="1" applyAlignment="1">
      <alignment horizontal="center" vertical="center" wrapText="1"/>
    </xf>
    <xf numFmtId="165" fontId="1" fillId="2" borderId="15" xfId="1" applyNumberFormat="1" applyFont="1" applyFill="1" applyBorder="1" applyAlignment="1">
      <alignment horizontal="center" vertical="center" wrapText="1"/>
    </xf>
    <xf numFmtId="2" fontId="1" fillId="2" borderId="14" xfId="1" applyNumberFormat="1" applyFont="1" applyFill="1" applyBorder="1" applyAlignment="1">
      <alignment horizontal="center" vertical="center" wrapText="1"/>
    </xf>
    <xf numFmtId="0" fontId="1" fillId="2" borderId="3" xfId="1" applyFont="1" applyFill="1" applyBorder="1" applyAlignment="1">
      <alignment horizontal="center" vertical="center" wrapText="1"/>
    </xf>
    <xf numFmtId="4" fontId="1" fillId="2" borderId="15" xfId="1" applyNumberFormat="1" applyFont="1" applyFill="1" applyBorder="1" applyAlignment="1">
      <alignment horizontal="center" vertical="center" wrapText="1"/>
    </xf>
    <xf numFmtId="0" fontId="1" fillId="2" borderId="14" xfId="1" applyFont="1" applyFill="1" applyBorder="1" applyAlignment="1">
      <alignment horizontal="center" vertical="center"/>
    </xf>
    <xf numFmtId="0" fontId="1" fillId="2" borderId="3" xfId="1" applyFont="1" applyFill="1" applyBorder="1" applyAlignment="1">
      <alignment horizontal="center" vertical="center"/>
    </xf>
    <xf numFmtId="0" fontId="1" fillId="2" borderId="3" xfId="2" applyNumberFormat="1" applyFont="1" applyFill="1" applyBorder="1" applyAlignment="1">
      <alignment horizontal="center" vertical="center"/>
    </xf>
    <xf numFmtId="0" fontId="1" fillId="2" borderId="15" xfId="2" applyNumberFormat="1" applyFont="1" applyFill="1" applyBorder="1" applyAlignment="1">
      <alignment horizontal="center" vertical="center"/>
    </xf>
    <xf numFmtId="0" fontId="1" fillId="2" borderId="16" xfId="1" applyFont="1" applyFill="1" applyBorder="1" applyAlignment="1">
      <alignment horizontal="center" vertical="center" wrapText="1"/>
    </xf>
    <xf numFmtId="0" fontId="1" fillId="2" borderId="14" xfId="2" applyNumberFormat="1" applyFont="1" applyFill="1" applyBorder="1" applyAlignment="1">
      <alignment horizontal="center" vertical="center" wrapText="1"/>
    </xf>
    <xf numFmtId="0" fontId="1" fillId="2" borderId="3" xfId="2" applyNumberFormat="1" applyFont="1" applyFill="1" applyBorder="1" applyAlignment="1">
      <alignment horizontal="center" vertical="center" wrapText="1"/>
    </xf>
    <xf numFmtId="0" fontId="1" fillId="2" borderId="15" xfId="1" applyFont="1" applyFill="1" applyBorder="1" applyAlignment="1">
      <alignment horizontal="center" vertical="center" wrapText="1"/>
    </xf>
    <xf numFmtId="164" fontId="1" fillId="3" borderId="5" xfId="1" applyNumberFormat="1" applyFont="1" applyFill="1" applyBorder="1" applyAlignment="1">
      <alignment horizontal="center" vertical="center"/>
    </xf>
    <xf numFmtId="0" fontId="1" fillId="3" borderId="6" xfId="1" applyNumberFormat="1" applyFont="1" applyFill="1" applyBorder="1" applyAlignment="1">
      <alignment horizontal="center" vertical="center"/>
    </xf>
    <xf numFmtId="166" fontId="1" fillId="3" borderId="6" xfId="1" applyNumberFormat="1" applyFont="1" applyFill="1" applyBorder="1" applyAlignment="1">
      <alignment horizontal="center" vertical="center"/>
    </xf>
    <xf numFmtId="0" fontId="1" fillId="3" borderId="6" xfId="1" applyNumberFormat="1" applyFont="1" applyFill="1" applyBorder="1" applyAlignment="1">
      <alignment horizontal="center" vertical="center" wrapText="1"/>
    </xf>
    <xf numFmtId="2" fontId="1" fillId="3" borderId="6" xfId="1" applyNumberFormat="1" applyFont="1" applyFill="1" applyBorder="1" applyAlignment="1">
      <alignment horizontal="center" vertical="center" wrapText="1"/>
    </xf>
    <xf numFmtId="165" fontId="1" fillId="3" borderId="6" xfId="1" applyNumberFormat="1" applyFont="1" applyFill="1" applyBorder="1" applyAlignment="1">
      <alignment horizontal="center" vertical="center" wrapText="1"/>
    </xf>
    <xf numFmtId="0" fontId="1" fillId="3" borderId="6" xfId="1" applyFont="1" applyFill="1" applyBorder="1" applyAlignment="1">
      <alignment horizontal="center" vertical="center" wrapText="1"/>
    </xf>
    <xf numFmtId="4" fontId="1" fillId="3" borderId="6" xfId="1" applyNumberFormat="1" applyFont="1" applyFill="1" applyBorder="1" applyAlignment="1">
      <alignment horizontal="center" vertical="center" wrapText="1"/>
    </xf>
    <xf numFmtId="0" fontId="1" fillId="3" borderId="6" xfId="1" applyFont="1" applyFill="1" applyBorder="1" applyAlignment="1">
      <alignment horizontal="center" vertical="center"/>
    </xf>
    <xf numFmtId="0" fontId="1" fillId="3" borderId="6" xfId="2" applyNumberFormat="1" applyFont="1" applyFill="1" applyBorder="1" applyAlignment="1">
      <alignment horizontal="center" vertical="center"/>
    </xf>
    <xf numFmtId="0" fontId="1" fillId="3" borderId="6" xfId="2" applyNumberFormat="1" applyFont="1" applyFill="1" applyBorder="1" applyAlignment="1">
      <alignment horizontal="center" vertical="center" wrapText="1"/>
    </xf>
    <xf numFmtId="0" fontId="1" fillId="3" borderId="8" xfId="1" applyFont="1" applyFill="1" applyBorder="1" applyAlignment="1">
      <alignment horizontal="center"/>
    </xf>
    <xf numFmtId="0" fontId="4" fillId="0" borderId="0" xfId="0" applyFont="1" applyBorder="1"/>
    <xf numFmtId="14" fontId="4" fillId="0" borderId="0" xfId="0" applyNumberFormat="1" applyFont="1"/>
    <xf numFmtId="20" fontId="4" fillId="0" borderId="0" xfId="0" applyNumberFormat="1" applyFont="1"/>
    <xf numFmtId="2" fontId="4" fillId="0" borderId="0" xfId="0" applyNumberFormat="1" applyFont="1"/>
    <xf numFmtId="165" fontId="4" fillId="0" borderId="0" xfId="0" applyNumberFormat="1" applyFont="1"/>
    <xf numFmtId="4" fontId="4" fillId="0" borderId="0" xfId="0" applyNumberFormat="1" applyFont="1"/>
    <xf numFmtId="0" fontId="4" fillId="0" borderId="0" xfId="0" applyFont="1" applyAlignment="1">
      <alignment horizontal="center"/>
    </xf>
    <xf numFmtId="4" fontId="4" fillId="0" borderId="0" xfId="0" applyNumberFormat="1" applyFont="1" applyAlignment="1">
      <alignment horizontal="right"/>
    </xf>
    <xf numFmtId="14" fontId="4" fillId="4" borderId="0" xfId="0" applyNumberFormat="1" applyFont="1" applyFill="1"/>
    <xf numFmtId="20" fontId="4" fillId="4" borderId="0" xfId="0" applyNumberFormat="1" applyFont="1" applyFill="1"/>
    <xf numFmtId="2" fontId="4" fillId="4" borderId="0" xfId="0" applyNumberFormat="1" applyFont="1" applyFill="1"/>
    <xf numFmtId="165" fontId="4" fillId="4" borderId="0" xfId="0" applyNumberFormat="1" applyFont="1" applyFill="1"/>
    <xf numFmtId="0" fontId="4" fillId="4" borderId="0" xfId="0" applyFont="1" applyFill="1"/>
    <xf numFmtId="4" fontId="4" fillId="4" borderId="0" xfId="0" applyNumberFormat="1" applyFont="1" applyFill="1"/>
    <xf numFmtId="0" fontId="4" fillId="4" borderId="0" xfId="0" applyFont="1" applyFill="1" applyAlignment="1">
      <alignment horizontal="center"/>
    </xf>
    <xf numFmtId="14" fontId="4" fillId="0" borderId="0" xfId="0" applyNumberFormat="1" applyFont="1" applyFill="1"/>
    <xf numFmtId="20" fontId="4" fillId="0" borderId="0" xfId="0" applyNumberFormat="1" applyFont="1" applyFill="1"/>
    <xf numFmtId="0" fontId="4" fillId="0" borderId="0" xfId="0" applyFont="1" applyFill="1" applyAlignment="1">
      <alignment horizontal="center"/>
    </xf>
    <xf numFmtId="0" fontId="4" fillId="0" borderId="0" xfId="0" applyFont="1" applyFill="1"/>
    <xf numFmtId="165" fontId="4" fillId="0" borderId="0" xfId="0" applyNumberFormat="1" applyFont="1" applyAlignment="1">
      <alignment horizontal="center"/>
    </xf>
    <xf numFmtId="1" fontId="4" fillId="0" borderId="0" xfId="0" applyNumberFormat="1" applyFont="1"/>
    <xf numFmtId="0" fontId="6" fillId="2" borderId="9"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9"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3" xfId="1" applyFont="1" applyFill="1" applyBorder="1" applyAlignment="1">
      <alignment horizontal="center" vertical="top" wrapText="1"/>
    </xf>
    <xf numFmtId="0" fontId="6" fillId="2" borderId="16" xfId="1" applyFont="1" applyFill="1" applyBorder="1" applyAlignment="1">
      <alignment horizontal="center" vertical="top" wrapText="1"/>
    </xf>
    <xf numFmtId="0" fontId="6" fillId="2" borderId="9" xfId="2" applyNumberFormat="1" applyFont="1" applyFill="1" applyBorder="1" applyAlignment="1">
      <alignment horizontal="center" vertical="center" wrapText="1"/>
    </xf>
    <xf numFmtId="0" fontId="6" fillId="2" borderId="7" xfId="2" applyNumberFormat="1" applyFont="1" applyFill="1" applyBorder="1" applyAlignment="1">
      <alignment horizontal="center" vertical="center" wrapText="1"/>
    </xf>
    <xf numFmtId="0" fontId="6" fillId="2" borderId="10" xfId="2" applyNumberFormat="1" applyFont="1" applyFill="1" applyBorder="1" applyAlignment="1">
      <alignment horizontal="center" vertical="center" wrapText="1"/>
    </xf>
    <xf numFmtId="0" fontId="6" fillId="0" borderId="13" xfId="1" applyFont="1" applyBorder="1" applyAlignment="1">
      <alignment horizontal="center" vertical="center"/>
    </xf>
    <xf numFmtId="0" fontId="6" fillId="0" borderId="16" xfId="1" applyFont="1" applyBorder="1" applyAlignment="1">
      <alignment horizontal="center" vertical="center"/>
    </xf>
    <xf numFmtId="164" fontId="2" fillId="2" borderId="1" xfId="1" applyNumberFormat="1" applyFont="1" applyFill="1" applyBorder="1" applyAlignment="1">
      <alignment horizontal="center"/>
    </xf>
    <xf numFmtId="0" fontId="5" fillId="2" borderId="3" xfId="1" applyFont="1" applyFill="1" applyBorder="1" applyAlignment="1">
      <alignment horizontal="center"/>
    </xf>
    <xf numFmtId="164" fontId="1" fillId="2" borderId="9" xfId="1" applyNumberFormat="1" applyFont="1" applyFill="1" applyBorder="1" applyAlignment="1">
      <alignment horizontal="center" vertical="center"/>
    </xf>
    <xf numFmtId="164" fontId="1" fillId="2" borderId="14" xfId="1" applyNumberFormat="1" applyFont="1" applyFill="1" applyBorder="1" applyAlignment="1">
      <alignment horizontal="center" vertical="center"/>
    </xf>
    <xf numFmtId="0" fontId="1" fillId="2" borderId="7" xfId="1" applyNumberFormat="1" applyFont="1" applyFill="1" applyBorder="1" applyAlignment="1">
      <alignment horizontal="center" vertical="center"/>
    </xf>
    <xf numFmtId="0" fontId="1" fillId="2" borderId="3" xfId="1" applyNumberFormat="1" applyFont="1" applyFill="1" applyBorder="1" applyAlignment="1">
      <alignment horizontal="center" vertical="center"/>
    </xf>
    <xf numFmtId="166" fontId="1" fillId="2" borderId="7" xfId="1" applyNumberFormat="1" applyFont="1" applyFill="1" applyBorder="1" applyAlignment="1">
      <alignment horizontal="center" vertical="center"/>
    </xf>
    <xf numFmtId="166" fontId="1" fillId="2" borderId="3" xfId="1" applyNumberFormat="1" applyFont="1" applyFill="1" applyBorder="1" applyAlignment="1">
      <alignment horizontal="center" vertical="center"/>
    </xf>
    <xf numFmtId="0" fontId="1" fillId="2" borderId="10" xfId="1" applyNumberFormat="1" applyFont="1" applyFill="1" applyBorder="1" applyAlignment="1">
      <alignment horizontal="center" vertical="center" wrapText="1"/>
    </xf>
    <xf numFmtId="0" fontId="1" fillId="2" borderId="15" xfId="1" applyNumberFormat="1" applyFont="1" applyFill="1" applyBorder="1" applyAlignment="1">
      <alignment horizontal="center" vertical="center" wrapText="1"/>
    </xf>
    <xf numFmtId="2" fontId="1" fillId="2" borderId="11" xfId="1" applyNumberFormat="1" applyFont="1" applyFill="1" applyBorder="1" applyAlignment="1">
      <alignment horizontal="center" vertical="center" wrapText="1"/>
    </xf>
    <xf numFmtId="2" fontId="1" fillId="2" borderId="16" xfId="1" applyNumberFormat="1" applyFont="1" applyFill="1" applyBorder="1" applyAlignment="1">
      <alignment horizontal="center" vertical="center" wrapText="1"/>
    </xf>
    <xf numFmtId="165" fontId="1" fillId="2" borderId="9" xfId="1" applyNumberFormat="1" applyFont="1" applyFill="1" applyBorder="1" applyAlignment="1">
      <alignment horizontal="center" vertical="center" wrapText="1"/>
    </xf>
    <xf numFmtId="165" fontId="1" fillId="2" borderId="10" xfId="1" applyNumberFormat="1" applyFont="1" applyFill="1" applyBorder="1" applyAlignment="1">
      <alignment horizontal="center" vertical="center" wrapText="1"/>
    </xf>
    <xf numFmtId="2" fontId="1" fillId="2" borderId="9" xfId="1" applyNumberFormat="1" applyFont="1" applyFill="1" applyBorder="1" applyAlignment="1">
      <alignment horizontal="center" vertical="center" wrapText="1"/>
    </xf>
    <xf numFmtId="2" fontId="1" fillId="2" borderId="10" xfId="1" applyNumberFormat="1" applyFont="1" applyFill="1" applyBorder="1" applyAlignment="1">
      <alignment horizontal="center" vertical="center" wrapText="1"/>
    </xf>
    <xf numFmtId="2" fontId="1" fillId="2" borderId="12" xfId="1" applyNumberFormat="1" applyFont="1" applyFill="1" applyBorder="1" applyAlignment="1">
      <alignment horizontal="center" vertical="center" wrapText="1"/>
    </xf>
    <xf numFmtId="2" fontId="1" fillId="2" borderId="17" xfId="1" applyNumberFormat="1" applyFont="1" applyFill="1" applyBorder="1" applyAlignment="1">
      <alignment horizontal="center" vertical="center" wrapText="1"/>
    </xf>
  </cellXfs>
  <cellStyles count="7">
    <cellStyle name="Comma0" xfId="2"/>
    <cellStyle name="Followed Hyperlink" xfId="4" builtinId="9" hidden="1"/>
    <cellStyle name="Followed Hyperlink" xfId="6" builtinId="9" hidden="1"/>
    <cellStyle name="Hyperlink" xfId="3" builtinId="8" hidden="1"/>
    <cellStyle name="Hyperlink" xfId="5" builtinId="8" hidden="1"/>
    <cellStyle name="Normal" xfId="0" builtinId="0"/>
    <cellStyle name="Normal 2" xfId="1"/>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06"/>
  <sheetViews>
    <sheetView tabSelected="1" zoomScale="125" zoomScaleNormal="125" zoomScalePageLayoutView="125" workbookViewId="0">
      <pane ySplit="6" topLeftCell="A202" activePane="bottomLeft" state="frozen"/>
      <selection pane="bottomLeft" activeCell="A207" sqref="A207"/>
    </sheetView>
  </sheetViews>
  <sheetFormatPr baseColWidth="10" defaultColWidth="9.1640625" defaultRowHeight="13" x14ac:dyDescent="0"/>
  <cols>
    <col min="1" max="1" width="11.5" style="4" customWidth="1"/>
    <col min="2" max="2" width="9.1640625" style="4" customWidth="1"/>
    <col min="3" max="3" width="11.5" style="4" bestFit="1" customWidth="1"/>
    <col min="4" max="4" width="11.5" style="4" customWidth="1"/>
    <col min="5" max="5" width="9.1640625" style="48" customWidth="1"/>
    <col min="6" max="7" width="9.1640625" style="49" customWidth="1"/>
    <col min="8" max="9" width="9.1640625" style="4" customWidth="1"/>
    <col min="10" max="10" width="9.1640625" style="48" customWidth="1"/>
    <col min="11" max="12" width="9.1640625" style="4" customWidth="1"/>
    <col min="13" max="13" width="9.1640625" style="50" customWidth="1"/>
    <col min="14" max="19" width="9.1640625" style="4"/>
    <col min="20" max="20" width="24.5" style="51" bestFit="1" customWidth="1"/>
    <col min="21" max="21" width="29.1640625" style="51" bestFit="1" customWidth="1"/>
    <col min="22" max="22" width="26.5" style="51" bestFit="1" customWidth="1"/>
    <col min="23" max="26" width="12" style="4" bestFit="1" customWidth="1"/>
    <col min="27" max="27" width="10.5" style="4" bestFit="1" customWidth="1"/>
    <col min="28" max="28" width="204.33203125" style="4" bestFit="1" customWidth="1"/>
    <col min="29" max="16384" width="9.1640625" style="4"/>
  </cols>
  <sheetData>
    <row r="1" spans="1:28" ht="15">
      <c r="A1" s="79" t="s">
        <v>0</v>
      </c>
      <c r="B1" s="79"/>
      <c r="C1" s="79"/>
      <c r="D1" s="79"/>
      <c r="E1" s="79"/>
      <c r="F1" s="79"/>
      <c r="G1" s="79"/>
      <c r="H1" s="79"/>
      <c r="I1" s="79"/>
      <c r="J1" s="79"/>
      <c r="K1" s="79"/>
      <c r="L1" s="79"/>
      <c r="M1" s="79"/>
      <c r="N1" s="79"/>
      <c r="O1" s="79"/>
      <c r="P1" s="79"/>
      <c r="Q1" s="79"/>
      <c r="R1" s="79"/>
      <c r="S1" s="79"/>
      <c r="T1" s="79"/>
      <c r="U1" s="79"/>
      <c r="V1" s="79"/>
      <c r="W1" s="79"/>
      <c r="X1" s="79"/>
      <c r="Y1" s="1"/>
      <c r="Z1" s="1"/>
      <c r="AA1" s="2"/>
      <c r="AB1" s="3"/>
    </row>
    <row r="2" spans="1:28" ht="14" thickBot="1">
      <c r="A2" s="80" t="s">
        <v>1</v>
      </c>
      <c r="B2" s="80"/>
      <c r="C2" s="80"/>
      <c r="D2" s="80"/>
      <c r="E2" s="80"/>
      <c r="F2" s="80"/>
      <c r="G2" s="80"/>
      <c r="H2" s="80"/>
      <c r="I2" s="80"/>
      <c r="J2" s="80"/>
      <c r="K2" s="80"/>
      <c r="L2" s="80"/>
      <c r="M2" s="80"/>
      <c r="N2" s="80"/>
      <c r="O2" s="80"/>
      <c r="P2" s="80"/>
      <c r="Q2" s="80"/>
      <c r="R2" s="80"/>
      <c r="S2" s="80"/>
      <c r="T2" s="80"/>
      <c r="U2" s="80"/>
      <c r="V2" s="80"/>
      <c r="W2" s="80"/>
      <c r="X2" s="80"/>
      <c r="Y2" s="5"/>
      <c r="Z2" s="5"/>
      <c r="AA2" s="6"/>
      <c r="AB2" s="7"/>
    </row>
    <row r="3" spans="1:28" ht="6" customHeight="1" thickBot="1">
      <c r="A3" s="8"/>
      <c r="B3" s="9"/>
      <c r="C3" s="10"/>
      <c r="D3" s="9"/>
      <c r="E3" s="11"/>
      <c r="F3" s="12"/>
      <c r="G3" s="12"/>
      <c r="H3" s="13"/>
      <c r="I3" s="13"/>
      <c r="J3" s="14"/>
      <c r="K3" s="11"/>
      <c r="L3" s="10"/>
      <c r="M3" s="15"/>
      <c r="N3" s="10"/>
      <c r="O3" s="10"/>
      <c r="P3" s="10"/>
      <c r="Q3" s="10"/>
      <c r="R3" s="10"/>
      <c r="S3" s="10"/>
      <c r="T3" s="16"/>
      <c r="U3" s="16"/>
      <c r="V3" s="16"/>
      <c r="W3" s="10"/>
      <c r="X3" s="10"/>
      <c r="Y3" s="10"/>
      <c r="Z3" s="10"/>
      <c r="AA3" s="10"/>
      <c r="AB3" s="17"/>
    </row>
    <row r="4" spans="1:28" ht="15" customHeight="1">
      <c r="A4" s="81" t="s">
        <v>2</v>
      </c>
      <c r="B4" s="83" t="s">
        <v>3</v>
      </c>
      <c r="C4" s="85" t="s">
        <v>4</v>
      </c>
      <c r="D4" s="87" t="s">
        <v>5</v>
      </c>
      <c r="E4" s="89" t="s">
        <v>6</v>
      </c>
      <c r="F4" s="91" t="s">
        <v>7</v>
      </c>
      <c r="G4" s="92"/>
      <c r="H4" s="93" t="s">
        <v>8</v>
      </c>
      <c r="I4" s="94"/>
      <c r="J4" s="95" t="s">
        <v>9</v>
      </c>
      <c r="K4" s="66" t="s">
        <v>10</v>
      </c>
      <c r="L4" s="67"/>
      <c r="M4" s="68"/>
      <c r="N4" s="69" t="s">
        <v>11</v>
      </c>
      <c r="O4" s="70"/>
      <c r="P4" s="70"/>
      <c r="Q4" s="70"/>
      <c r="R4" s="70"/>
      <c r="S4" s="71"/>
      <c r="T4" s="18" t="s">
        <v>12</v>
      </c>
      <c r="U4" s="72" t="s">
        <v>13</v>
      </c>
      <c r="V4" s="19" t="s">
        <v>14</v>
      </c>
      <c r="W4" s="74" t="s">
        <v>15</v>
      </c>
      <c r="X4" s="75"/>
      <c r="Y4" s="75"/>
      <c r="Z4" s="75"/>
      <c r="AA4" s="76"/>
      <c r="AB4" s="77" t="s">
        <v>16</v>
      </c>
    </row>
    <row r="5" spans="1:28" ht="48" customHeight="1" thickBot="1">
      <c r="A5" s="82"/>
      <c r="B5" s="84"/>
      <c r="C5" s="86"/>
      <c r="D5" s="88"/>
      <c r="E5" s="90"/>
      <c r="F5" s="20">
        <v>8.3000000000000007</v>
      </c>
      <c r="G5" s="21">
        <v>8.4</v>
      </c>
      <c r="H5" s="20">
        <v>8.3000000000000007</v>
      </c>
      <c r="I5" s="21">
        <v>8.4</v>
      </c>
      <c r="J5" s="96"/>
      <c r="K5" s="22" t="s">
        <v>17</v>
      </c>
      <c r="L5" s="23" t="s">
        <v>18</v>
      </c>
      <c r="M5" s="24" t="s">
        <v>19</v>
      </c>
      <c r="N5" s="25" t="s">
        <v>20</v>
      </c>
      <c r="O5" s="26" t="s">
        <v>21</v>
      </c>
      <c r="P5" s="27" t="s">
        <v>22</v>
      </c>
      <c r="Q5" s="27" t="s">
        <v>23</v>
      </c>
      <c r="R5" s="27" t="s">
        <v>24</v>
      </c>
      <c r="S5" s="28" t="s">
        <v>25</v>
      </c>
      <c r="T5" s="29" t="s">
        <v>26</v>
      </c>
      <c r="U5" s="73"/>
      <c r="V5" s="29" t="s">
        <v>27</v>
      </c>
      <c r="W5" s="30" t="s">
        <v>28</v>
      </c>
      <c r="X5" s="31" t="s">
        <v>29</v>
      </c>
      <c r="Y5" s="31" t="s">
        <v>30</v>
      </c>
      <c r="Z5" s="31" t="s">
        <v>31</v>
      </c>
      <c r="AA5" s="32" t="s">
        <v>32</v>
      </c>
      <c r="AB5" s="78"/>
    </row>
    <row r="6" spans="1:28" s="45" customFormat="1" ht="6" customHeight="1" thickBot="1">
      <c r="A6" s="33"/>
      <c r="B6" s="34"/>
      <c r="C6" s="35"/>
      <c r="D6" s="36"/>
      <c r="E6" s="37"/>
      <c r="F6" s="38"/>
      <c r="G6" s="38"/>
      <c r="H6" s="38"/>
      <c r="I6" s="38"/>
      <c r="J6" s="37"/>
      <c r="K6" s="37"/>
      <c r="L6" s="39"/>
      <c r="M6" s="40"/>
      <c r="N6" s="41"/>
      <c r="O6" s="41"/>
      <c r="P6" s="42"/>
      <c r="Q6" s="42"/>
      <c r="R6" s="42"/>
      <c r="S6" s="42"/>
      <c r="T6" s="42"/>
      <c r="U6" s="42"/>
      <c r="V6" s="42"/>
      <c r="W6" s="43"/>
      <c r="X6" s="43"/>
      <c r="Y6" s="43"/>
      <c r="Z6" s="43"/>
      <c r="AA6" s="39"/>
      <c r="AB6" s="44"/>
    </row>
    <row r="7" spans="1:28">
      <c r="A7" s="46">
        <v>42263</v>
      </c>
      <c r="B7" s="47">
        <v>0.59375</v>
      </c>
      <c r="C7" s="46">
        <v>42264</v>
      </c>
      <c r="D7" s="47">
        <v>0.51041666666666663</v>
      </c>
      <c r="E7" s="48">
        <v>22</v>
      </c>
      <c r="F7" s="49">
        <v>2.5</v>
      </c>
      <c r="G7" s="49">
        <v>2.9</v>
      </c>
      <c r="H7" s="4">
        <v>0</v>
      </c>
      <c r="I7" s="4">
        <v>0</v>
      </c>
      <c r="J7" s="48">
        <v>44</v>
      </c>
      <c r="K7" s="4">
        <v>6040</v>
      </c>
      <c r="L7" s="4">
        <v>64</v>
      </c>
      <c r="M7" s="50">
        <v>6.4</v>
      </c>
      <c r="P7" s="4">
        <v>0</v>
      </c>
      <c r="Q7" s="4">
        <v>0</v>
      </c>
      <c r="R7" s="4">
        <v>0</v>
      </c>
      <c r="S7" s="4">
        <v>0</v>
      </c>
      <c r="T7" s="51">
        <v>0</v>
      </c>
      <c r="U7" s="51">
        <v>0</v>
      </c>
      <c r="V7" s="51">
        <v>0</v>
      </c>
      <c r="W7" s="4">
        <f t="shared" ref="W7:W70" si="0">P7/J7</f>
        <v>0</v>
      </c>
      <c r="X7" s="4">
        <f t="shared" ref="X7:X70" si="1">Q7/J7</f>
        <v>0</v>
      </c>
      <c r="Y7" s="4">
        <f t="shared" ref="Y7:Y70" si="2">R7/J7</f>
        <v>0</v>
      </c>
      <c r="Z7" s="4">
        <f t="shared" ref="Z7:Z70" si="3">S7/J7</f>
        <v>0</v>
      </c>
      <c r="AA7" s="4">
        <f t="shared" ref="AA7:AA70" si="4">U7/J7</f>
        <v>0</v>
      </c>
      <c r="AB7" s="4" t="s">
        <v>33</v>
      </c>
    </row>
    <row r="8" spans="1:28">
      <c r="A8" s="46">
        <v>42264</v>
      </c>
      <c r="B8" s="47">
        <v>0.51041666666666663</v>
      </c>
      <c r="C8" s="46">
        <v>42265</v>
      </c>
      <c r="D8" s="47">
        <v>0.41666666666666669</v>
      </c>
      <c r="E8" s="48">
        <v>21.75</v>
      </c>
      <c r="F8" s="49">
        <v>1.8</v>
      </c>
      <c r="G8" s="49">
        <v>2.5</v>
      </c>
      <c r="H8" s="4">
        <v>0</v>
      </c>
      <c r="I8" s="4">
        <v>3308</v>
      </c>
      <c r="J8" s="48">
        <f>21.75 + (((H8/F8)+(I8/G8))/60)</f>
        <v>43.803333333333335</v>
      </c>
      <c r="K8" s="4">
        <v>6070</v>
      </c>
      <c r="L8" s="4">
        <v>63</v>
      </c>
      <c r="M8" s="50">
        <v>7.57</v>
      </c>
      <c r="P8" s="4">
        <v>0</v>
      </c>
      <c r="Q8" s="4">
        <v>0</v>
      </c>
      <c r="R8" s="4">
        <v>0</v>
      </c>
      <c r="S8" s="4">
        <v>0</v>
      </c>
      <c r="T8" s="51">
        <v>0</v>
      </c>
      <c r="U8" s="51">
        <v>0</v>
      </c>
      <c r="V8" s="51">
        <v>0</v>
      </c>
      <c r="W8" s="4">
        <f t="shared" si="0"/>
        <v>0</v>
      </c>
      <c r="X8" s="4">
        <f t="shared" si="1"/>
        <v>0</v>
      </c>
      <c r="Y8" s="4">
        <f t="shared" si="2"/>
        <v>0</v>
      </c>
      <c r="Z8" s="4">
        <f t="shared" si="3"/>
        <v>0</v>
      </c>
      <c r="AA8" s="4">
        <f t="shared" si="4"/>
        <v>0</v>
      </c>
    </row>
    <row r="9" spans="1:28">
      <c r="A9" s="46">
        <v>42265</v>
      </c>
      <c r="B9" s="47">
        <v>0.41666666666666669</v>
      </c>
      <c r="C9" s="46">
        <v>42266</v>
      </c>
      <c r="D9" s="47">
        <v>0.45833333333333331</v>
      </c>
      <c r="E9" s="48">
        <v>25</v>
      </c>
      <c r="F9" s="49">
        <v>1.9</v>
      </c>
      <c r="G9" s="49">
        <v>3.2</v>
      </c>
      <c r="H9" s="4">
        <v>13</v>
      </c>
      <c r="I9" s="4">
        <v>3775</v>
      </c>
      <c r="J9" s="48">
        <f>(((H9/F9)+(I9/G9))/60)</f>
        <v>19.775493421052634</v>
      </c>
      <c r="K9" s="4">
        <v>6100</v>
      </c>
      <c r="L9" s="4">
        <v>64</v>
      </c>
      <c r="M9" s="50">
        <v>8</v>
      </c>
      <c r="P9" s="4">
        <v>0</v>
      </c>
      <c r="Q9" s="4">
        <v>0</v>
      </c>
      <c r="R9" s="4">
        <v>0</v>
      </c>
      <c r="S9" s="4">
        <v>0</v>
      </c>
      <c r="T9" s="51">
        <v>0</v>
      </c>
      <c r="U9" s="51">
        <v>0</v>
      </c>
      <c r="V9" s="51">
        <v>0</v>
      </c>
      <c r="W9" s="4">
        <f t="shared" si="0"/>
        <v>0</v>
      </c>
      <c r="X9" s="4">
        <f t="shared" si="1"/>
        <v>0</v>
      </c>
      <c r="Y9" s="4">
        <f t="shared" si="2"/>
        <v>0</v>
      </c>
      <c r="Z9" s="4">
        <f t="shared" si="3"/>
        <v>0</v>
      </c>
      <c r="AA9" s="4">
        <f t="shared" si="4"/>
        <v>0</v>
      </c>
      <c r="AB9" s="4" t="s">
        <v>34</v>
      </c>
    </row>
    <row r="10" spans="1:28">
      <c r="A10" s="46">
        <v>42266</v>
      </c>
      <c r="B10" s="47">
        <v>0.45833333333333331</v>
      </c>
      <c r="C10" s="46">
        <v>42267</v>
      </c>
      <c r="D10" s="47">
        <v>0.51041666666666663</v>
      </c>
      <c r="E10" s="48">
        <v>27.75</v>
      </c>
      <c r="F10" s="49">
        <v>1.8</v>
      </c>
      <c r="G10" s="49">
        <v>3</v>
      </c>
      <c r="H10" s="4">
        <v>93</v>
      </c>
      <c r="I10" s="4">
        <v>3554</v>
      </c>
      <c r="J10" s="48">
        <f>(((H10/F10)+(I10/G10))/60)</f>
        <v>20.605555555555558</v>
      </c>
      <c r="K10" s="4">
        <v>6150</v>
      </c>
      <c r="L10" s="4">
        <v>64</v>
      </c>
      <c r="M10" s="50">
        <v>6.7</v>
      </c>
      <c r="P10" s="4">
        <v>0</v>
      </c>
      <c r="Q10" s="4">
        <v>0</v>
      </c>
      <c r="R10" s="4">
        <v>0</v>
      </c>
      <c r="S10" s="4">
        <v>0</v>
      </c>
      <c r="T10" s="51">
        <v>0</v>
      </c>
      <c r="U10" s="51">
        <v>0</v>
      </c>
      <c r="V10" s="51">
        <v>0</v>
      </c>
      <c r="W10" s="4">
        <f t="shared" si="0"/>
        <v>0</v>
      </c>
      <c r="X10" s="4">
        <f t="shared" si="1"/>
        <v>0</v>
      </c>
      <c r="Y10" s="4">
        <f t="shared" si="2"/>
        <v>0</v>
      </c>
      <c r="Z10" s="4">
        <f t="shared" si="3"/>
        <v>0</v>
      </c>
      <c r="AA10" s="4">
        <f t="shared" si="4"/>
        <v>0</v>
      </c>
    </row>
    <row r="11" spans="1:28">
      <c r="A11" s="46">
        <v>42267</v>
      </c>
      <c r="B11" s="47">
        <v>0.51041666666666663</v>
      </c>
      <c r="C11" s="46">
        <v>42268</v>
      </c>
      <c r="D11" s="47">
        <v>0.44791666666666669</v>
      </c>
      <c r="E11" s="48">
        <v>22.5</v>
      </c>
      <c r="F11" s="49">
        <v>1.9</v>
      </c>
      <c r="G11" s="49">
        <v>2.5</v>
      </c>
      <c r="H11" s="4">
        <v>572</v>
      </c>
      <c r="I11" s="4">
        <v>3363</v>
      </c>
      <c r="J11" s="48">
        <f>(((H11/F11)+(I11/G11))/60)</f>
        <v>27.437543859649121</v>
      </c>
      <c r="K11" s="4">
        <v>6160</v>
      </c>
      <c r="L11" s="4">
        <v>67</v>
      </c>
      <c r="M11" s="50">
        <v>3.39</v>
      </c>
      <c r="P11" s="4">
        <v>0</v>
      </c>
      <c r="Q11" s="4">
        <v>0</v>
      </c>
      <c r="R11" s="4">
        <v>0</v>
      </c>
      <c r="S11" s="4">
        <v>0</v>
      </c>
      <c r="T11" s="51">
        <v>0</v>
      </c>
      <c r="U11" s="51">
        <v>0</v>
      </c>
      <c r="V11" s="51">
        <v>0</v>
      </c>
      <c r="W11" s="4">
        <f t="shared" si="0"/>
        <v>0</v>
      </c>
      <c r="X11" s="4">
        <f t="shared" si="1"/>
        <v>0</v>
      </c>
      <c r="Y11" s="4">
        <f t="shared" si="2"/>
        <v>0</v>
      </c>
      <c r="Z11" s="4">
        <f t="shared" si="3"/>
        <v>0</v>
      </c>
      <c r="AA11" s="4">
        <f t="shared" si="4"/>
        <v>0</v>
      </c>
    </row>
    <row r="12" spans="1:28">
      <c r="A12" s="46">
        <v>42268</v>
      </c>
      <c r="B12" s="47">
        <v>0.44791666666666669</v>
      </c>
      <c r="C12" s="46">
        <v>42269</v>
      </c>
      <c r="D12" s="47">
        <v>0.42708333333333331</v>
      </c>
      <c r="E12" s="48">
        <v>23.5</v>
      </c>
      <c r="F12" s="49">
        <v>1.9</v>
      </c>
      <c r="G12" s="49">
        <v>2.5</v>
      </c>
      <c r="H12" s="4">
        <v>0</v>
      </c>
      <c r="I12" s="4">
        <v>3281</v>
      </c>
      <c r="J12" s="48">
        <f>E12 + (((H12/F12)+(I12/G12))/60)</f>
        <v>45.373333333333335</v>
      </c>
      <c r="K12" s="4">
        <v>6100</v>
      </c>
      <c r="L12" s="4">
        <v>69</v>
      </c>
      <c r="M12" s="50">
        <v>5.53</v>
      </c>
      <c r="P12" s="4">
        <v>0</v>
      </c>
      <c r="Q12" s="4">
        <v>0</v>
      </c>
      <c r="R12" s="4">
        <v>0</v>
      </c>
      <c r="S12" s="4">
        <v>0</v>
      </c>
      <c r="T12" s="51">
        <v>0</v>
      </c>
      <c r="U12" s="51">
        <v>0</v>
      </c>
      <c r="V12" s="51">
        <v>0</v>
      </c>
      <c r="W12" s="4">
        <f t="shared" si="0"/>
        <v>0</v>
      </c>
      <c r="X12" s="4">
        <f t="shared" si="1"/>
        <v>0</v>
      </c>
      <c r="Y12" s="4">
        <f t="shared" si="2"/>
        <v>0</v>
      </c>
      <c r="Z12" s="4">
        <f t="shared" si="3"/>
        <v>0</v>
      </c>
      <c r="AA12" s="4">
        <f t="shared" si="4"/>
        <v>0</v>
      </c>
    </row>
    <row r="13" spans="1:28">
      <c r="A13" s="46">
        <v>42269</v>
      </c>
      <c r="B13" s="47">
        <v>0.42708333333333331</v>
      </c>
      <c r="C13" s="46">
        <v>42270</v>
      </c>
      <c r="D13" s="47">
        <v>0.4375</v>
      </c>
      <c r="E13" s="48">
        <v>24.25</v>
      </c>
      <c r="F13" s="49">
        <v>2</v>
      </c>
      <c r="G13" s="49">
        <v>2.6</v>
      </c>
      <c r="H13" s="4">
        <v>122</v>
      </c>
      <c r="I13" s="4">
        <v>3592</v>
      </c>
      <c r="J13" s="48">
        <f xml:space="preserve"> (((H13/F13)+(I13/G13))/60)</f>
        <v>24.042307692307691</v>
      </c>
      <c r="K13" s="4">
        <v>6130</v>
      </c>
      <c r="L13" s="4">
        <v>68</v>
      </c>
      <c r="M13" s="50">
        <v>5.41</v>
      </c>
      <c r="P13" s="4">
        <v>0</v>
      </c>
      <c r="Q13" s="4">
        <v>0</v>
      </c>
      <c r="R13" s="4">
        <v>0</v>
      </c>
      <c r="S13" s="4">
        <v>0</v>
      </c>
      <c r="T13" s="51">
        <v>0</v>
      </c>
      <c r="U13" s="51">
        <v>0</v>
      </c>
      <c r="V13" s="51">
        <v>0</v>
      </c>
      <c r="W13" s="4">
        <f t="shared" si="0"/>
        <v>0</v>
      </c>
      <c r="X13" s="4">
        <f t="shared" si="1"/>
        <v>0</v>
      </c>
      <c r="Y13" s="4">
        <f t="shared" si="2"/>
        <v>0</v>
      </c>
      <c r="Z13" s="4">
        <f t="shared" si="3"/>
        <v>0</v>
      </c>
      <c r="AA13" s="4">
        <f t="shared" si="4"/>
        <v>0</v>
      </c>
    </row>
    <row r="14" spans="1:28">
      <c r="A14" s="46">
        <v>42270</v>
      </c>
      <c r="B14" s="47">
        <v>0.4375</v>
      </c>
      <c r="C14" s="46">
        <v>42271</v>
      </c>
      <c r="D14" s="47">
        <v>0.41666666666666669</v>
      </c>
      <c r="E14" s="48">
        <v>23.5</v>
      </c>
      <c r="F14" s="49">
        <v>1.7</v>
      </c>
      <c r="G14" s="49">
        <v>2.6</v>
      </c>
      <c r="H14" s="4">
        <v>2398</v>
      </c>
      <c r="I14" s="4">
        <v>2989</v>
      </c>
      <c r="J14" s="48">
        <f xml:space="preserve"> (((H14/F14)+(I14/G14))/60)</f>
        <v>42.670060331825042</v>
      </c>
      <c r="K14" s="4">
        <v>6130</v>
      </c>
      <c r="L14" s="4">
        <v>69</v>
      </c>
      <c r="M14" s="50">
        <v>8</v>
      </c>
      <c r="N14" s="4">
        <v>38</v>
      </c>
      <c r="O14" s="4">
        <v>38</v>
      </c>
      <c r="P14" s="4">
        <v>0</v>
      </c>
      <c r="Q14" s="4">
        <v>0</v>
      </c>
      <c r="R14" s="4">
        <v>1</v>
      </c>
      <c r="S14" s="4">
        <v>0</v>
      </c>
      <c r="T14" s="51">
        <v>0</v>
      </c>
      <c r="U14" s="51">
        <v>0</v>
      </c>
      <c r="V14" s="51">
        <v>0</v>
      </c>
      <c r="W14" s="4">
        <f t="shared" si="0"/>
        <v>0</v>
      </c>
      <c r="X14" s="4">
        <f t="shared" si="1"/>
        <v>0</v>
      </c>
      <c r="Y14" s="4">
        <f t="shared" si="2"/>
        <v>2.3435635952315726E-2</v>
      </c>
      <c r="Z14" s="4">
        <f t="shared" si="3"/>
        <v>0</v>
      </c>
      <c r="AA14" s="4">
        <f t="shared" si="4"/>
        <v>0</v>
      </c>
    </row>
    <row r="15" spans="1:28">
      <c r="A15" s="46">
        <v>42271</v>
      </c>
      <c r="B15" s="47">
        <v>0.41666666666666669</v>
      </c>
      <c r="C15" s="46">
        <v>42272</v>
      </c>
      <c r="D15" s="47">
        <v>0.53125</v>
      </c>
      <c r="E15" s="48">
        <v>26.75</v>
      </c>
      <c r="F15" s="49">
        <v>1.6</v>
      </c>
      <c r="G15" s="49">
        <v>2.2999999999999998</v>
      </c>
      <c r="H15" s="4">
        <v>3036</v>
      </c>
      <c r="I15" s="4">
        <v>3326</v>
      </c>
      <c r="J15" s="48">
        <f t="shared" ref="J15:J78" si="5" xml:space="preserve"> (((H15/F15)+(I15/G15))/60)</f>
        <v>55.72644927536232</v>
      </c>
      <c r="K15" s="4">
        <v>6150</v>
      </c>
      <c r="L15" s="4">
        <v>69</v>
      </c>
      <c r="M15" s="50">
        <v>4.99</v>
      </c>
      <c r="P15" s="4">
        <v>0</v>
      </c>
      <c r="Q15" s="4">
        <v>0</v>
      </c>
      <c r="R15" s="4">
        <v>0</v>
      </c>
      <c r="S15" s="4">
        <v>0</v>
      </c>
      <c r="T15" s="51">
        <v>0</v>
      </c>
      <c r="U15" s="51">
        <v>0</v>
      </c>
      <c r="V15" s="51">
        <v>0</v>
      </c>
      <c r="W15" s="4">
        <f t="shared" si="0"/>
        <v>0</v>
      </c>
      <c r="X15" s="4">
        <f t="shared" si="1"/>
        <v>0</v>
      </c>
      <c r="Y15" s="4">
        <f t="shared" si="2"/>
        <v>0</v>
      </c>
      <c r="Z15" s="4">
        <f t="shared" si="3"/>
        <v>0</v>
      </c>
      <c r="AA15" s="4">
        <f t="shared" si="4"/>
        <v>0</v>
      </c>
    </row>
    <row r="16" spans="1:28">
      <c r="A16" s="46">
        <v>42272</v>
      </c>
      <c r="B16" s="47">
        <v>0.53125</v>
      </c>
      <c r="C16" s="46">
        <v>42273</v>
      </c>
      <c r="D16" s="47">
        <v>0.40625</v>
      </c>
      <c r="E16" s="48">
        <v>21</v>
      </c>
      <c r="F16" s="49">
        <v>1.6</v>
      </c>
      <c r="G16" s="49">
        <v>2.2000000000000002</v>
      </c>
      <c r="H16" s="4">
        <v>2447</v>
      </c>
      <c r="I16" s="4">
        <v>2879</v>
      </c>
      <c r="J16" s="48">
        <f t="shared" si="5"/>
        <v>47.300189393939391</v>
      </c>
      <c r="K16" s="4">
        <v>6080</v>
      </c>
      <c r="L16" s="4">
        <v>69</v>
      </c>
      <c r="M16" s="50">
        <v>7.85</v>
      </c>
      <c r="P16" s="4">
        <v>0</v>
      </c>
      <c r="Q16" s="4">
        <v>0</v>
      </c>
      <c r="R16" s="4">
        <v>0</v>
      </c>
      <c r="S16" s="4">
        <v>0</v>
      </c>
      <c r="T16" s="51">
        <v>0</v>
      </c>
      <c r="U16" s="51">
        <v>0</v>
      </c>
      <c r="V16" s="51">
        <v>0</v>
      </c>
      <c r="W16" s="4">
        <f t="shared" si="0"/>
        <v>0</v>
      </c>
      <c r="X16" s="4">
        <f t="shared" si="1"/>
        <v>0</v>
      </c>
      <c r="Y16" s="4">
        <f t="shared" si="2"/>
        <v>0</v>
      </c>
      <c r="Z16" s="4">
        <f t="shared" si="3"/>
        <v>0</v>
      </c>
      <c r="AA16" s="4">
        <f t="shared" si="4"/>
        <v>0</v>
      </c>
    </row>
    <row r="17" spans="1:27">
      <c r="A17" s="46">
        <v>42273</v>
      </c>
      <c r="B17" s="47">
        <v>0.40625</v>
      </c>
      <c r="C17" s="46">
        <v>42274</v>
      </c>
      <c r="D17" s="47">
        <v>0.40625</v>
      </c>
      <c r="E17" s="48">
        <v>24</v>
      </c>
      <c r="F17" s="49">
        <v>1.8</v>
      </c>
      <c r="G17" s="49">
        <v>2.2999999999999998</v>
      </c>
      <c r="H17" s="4">
        <v>1159</v>
      </c>
      <c r="I17" s="4">
        <v>3357</v>
      </c>
      <c r="J17" s="48">
        <f t="shared" si="5"/>
        <v>35.05756843800323</v>
      </c>
      <c r="K17" s="4">
        <v>5940</v>
      </c>
      <c r="L17" s="4">
        <v>68</v>
      </c>
      <c r="M17" s="50">
        <v>4.4800000000000004</v>
      </c>
      <c r="P17" s="4">
        <v>0</v>
      </c>
      <c r="Q17" s="4">
        <v>0</v>
      </c>
      <c r="R17" s="4">
        <v>0</v>
      </c>
      <c r="S17" s="4">
        <v>0</v>
      </c>
      <c r="T17" s="51">
        <v>0</v>
      </c>
      <c r="U17" s="51">
        <v>0</v>
      </c>
      <c r="V17" s="51">
        <v>0</v>
      </c>
      <c r="W17" s="4">
        <f t="shared" si="0"/>
        <v>0</v>
      </c>
      <c r="X17" s="4">
        <f t="shared" si="1"/>
        <v>0</v>
      </c>
      <c r="Y17" s="4">
        <f t="shared" si="2"/>
        <v>0</v>
      </c>
      <c r="Z17" s="4">
        <f t="shared" si="3"/>
        <v>0</v>
      </c>
      <c r="AA17" s="4">
        <f t="shared" si="4"/>
        <v>0</v>
      </c>
    </row>
    <row r="18" spans="1:27">
      <c r="A18" s="46">
        <v>42274</v>
      </c>
      <c r="B18" s="47">
        <v>0.40625</v>
      </c>
      <c r="C18" s="46">
        <v>42275</v>
      </c>
      <c r="D18" s="47">
        <v>0.4375</v>
      </c>
      <c r="E18" s="48">
        <v>24.75</v>
      </c>
      <c r="F18" s="49">
        <v>1.7</v>
      </c>
      <c r="G18" s="49">
        <v>2.5</v>
      </c>
      <c r="H18" s="4">
        <v>1758</v>
      </c>
      <c r="I18" s="4">
        <v>1002</v>
      </c>
      <c r="J18" s="48">
        <f t="shared" si="5"/>
        <v>23.915294117647061</v>
      </c>
      <c r="K18" s="4">
        <v>5880</v>
      </c>
      <c r="L18" s="4">
        <v>68</v>
      </c>
      <c r="M18" s="50">
        <v>7.09</v>
      </c>
      <c r="P18" s="4">
        <v>0</v>
      </c>
      <c r="Q18" s="4">
        <v>0</v>
      </c>
      <c r="R18" s="4">
        <v>0</v>
      </c>
      <c r="S18" s="4">
        <v>0</v>
      </c>
      <c r="T18" s="51">
        <v>0</v>
      </c>
      <c r="U18" s="51">
        <v>0</v>
      </c>
      <c r="V18" s="51">
        <v>0</v>
      </c>
      <c r="W18" s="4">
        <f t="shared" si="0"/>
        <v>0</v>
      </c>
      <c r="X18" s="4">
        <f t="shared" si="1"/>
        <v>0</v>
      </c>
      <c r="Y18" s="4">
        <f t="shared" si="2"/>
        <v>0</v>
      </c>
      <c r="Z18" s="4">
        <f t="shared" si="3"/>
        <v>0</v>
      </c>
      <c r="AA18" s="4">
        <f t="shared" si="4"/>
        <v>0</v>
      </c>
    </row>
    <row r="19" spans="1:27">
      <c r="A19" s="46">
        <v>42275</v>
      </c>
      <c r="B19" s="47">
        <v>0.4375</v>
      </c>
      <c r="C19" s="46">
        <v>42276</v>
      </c>
      <c r="D19" s="47">
        <v>0.45833333333333331</v>
      </c>
      <c r="E19" s="48">
        <v>24.5</v>
      </c>
      <c r="F19" s="49">
        <v>1.7</v>
      </c>
      <c r="G19" s="49">
        <v>2.4</v>
      </c>
      <c r="H19" s="4">
        <v>2952</v>
      </c>
      <c r="I19" s="4">
        <v>3313</v>
      </c>
      <c r="J19" s="48">
        <f t="shared" si="5"/>
        <v>51.948120915032675</v>
      </c>
      <c r="K19" s="4">
        <v>5850</v>
      </c>
      <c r="L19" s="4">
        <v>68</v>
      </c>
      <c r="M19" s="50">
        <v>7.89</v>
      </c>
      <c r="P19" s="4">
        <v>0</v>
      </c>
      <c r="Q19" s="4">
        <v>0</v>
      </c>
      <c r="R19" s="4">
        <v>0</v>
      </c>
      <c r="S19" s="4">
        <v>0</v>
      </c>
      <c r="T19" s="51">
        <v>0</v>
      </c>
      <c r="U19" s="51">
        <v>0</v>
      </c>
      <c r="V19" s="51">
        <v>0</v>
      </c>
      <c r="W19" s="4">
        <f t="shared" si="0"/>
        <v>0</v>
      </c>
      <c r="X19" s="4">
        <f t="shared" si="1"/>
        <v>0</v>
      </c>
      <c r="Y19" s="4">
        <f t="shared" si="2"/>
        <v>0</v>
      </c>
      <c r="Z19" s="4">
        <f t="shared" si="3"/>
        <v>0</v>
      </c>
      <c r="AA19" s="4">
        <f t="shared" si="4"/>
        <v>0</v>
      </c>
    </row>
    <row r="20" spans="1:27">
      <c r="A20" s="46">
        <v>42276</v>
      </c>
      <c r="B20" s="47">
        <v>0.45833333333333331</v>
      </c>
      <c r="C20" s="46">
        <v>42277</v>
      </c>
      <c r="D20" s="47">
        <v>0.45833333333333331</v>
      </c>
      <c r="E20" s="48">
        <v>24</v>
      </c>
      <c r="F20" s="49">
        <v>1.6</v>
      </c>
      <c r="G20" s="49">
        <v>2.2999999999999998</v>
      </c>
      <c r="H20" s="4">
        <v>1311</v>
      </c>
      <c r="I20" s="4">
        <v>1862</v>
      </c>
      <c r="J20" s="48">
        <f t="shared" si="5"/>
        <v>27.14900362318841</v>
      </c>
      <c r="K20" s="4">
        <v>6010</v>
      </c>
      <c r="L20" s="4">
        <v>66</v>
      </c>
      <c r="M20" s="50">
        <v>7.96</v>
      </c>
      <c r="P20" s="4">
        <v>0</v>
      </c>
      <c r="Q20" s="4">
        <v>0</v>
      </c>
      <c r="R20" s="4">
        <v>0</v>
      </c>
      <c r="S20" s="4">
        <v>0</v>
      </c>
      <c r="T20" s="51">
        <v>0</v>
      </c>
      <c r="U20" s="51">
        <v>0</v>
      </c>
      <c r="V20" s="51">
        <v>0</v>
      </c>
      <c r="W20" s="4">
        <f t="shared" si="0"/>
        <v>0</v>
      </c>
      <c r="X20" s="4">
        <f t="shared" si="1"/>
        <v>0</v>
      </c>
      <c r="Y20" s="4">
        <f t="shared" si="2"/>
        <v>0</v>
      </c>
      <c r="Z20" s="4">
        <f t="shared" si="3"/>
        <v>0</v>
      </c>
      <c r="AA20" s="4">
        <f t="shared" si="4"/>
        <v>0</v>
      </c>
    </row>
    <row r="21" spans="1:27">
      <c r="A21" s="46">
        <v>42277</v>
      </c>
      <c r="B21" s="47">
        <v>0.45833333333333331</v>
      </c>
      <c r="C21" s="46">
        <v>42278</v>
      </c>
      <c r="D21" s="47">
        <v>0.4375</v>
      </c>
      <c r="E21" s="48">
        <v>23.5</v>
      </c>
      <c r="F21" s="49">
        <v>1.5</v>
      </c>
      <c r="G21" s="49">
        <v>2.4</v>
      </c>
      <c r="H21" s="4">
        <v>2125</v>
      </c>
      <c r="I21" s="4">
        <v>3230</v>
      </c>
      <c r="J21" s="48">
        <f t="shared" si="5"/>
        <v>46.041666666666664</v>
      </c>
      <c r="K21" s="4">
        <v>5950</v>
      </c>
      <c r="L21" s="4">
        <v>66</v>
      </c>
      <c r="M21" s="50">
        <v>5.15</v>
      </c>
      <c r="P21" s="4">
        <v>0</v>
      </c>
      <c r="Q21" s="4">
        <v>0</v>
      </c>
      <c r="R21" s="4">
        <v>0</v>
      </c>
      <c r="S21" s="4">
        <v>0</v>
      </c>
      <c r="T21" s="51">
        <v>0</v>
      </c>
      <c r="U21" s="51">
        <v>0</v>
      </c>
      <c r="V21" s="51">
        <v>0</v>
      </c>
      <c r="W21" s="4">
        <f t="shared" si="0"/>
        <v>0</v>
      </c>
      <c r="X21" s="4">
        <f t="shared" si="1"/>
        <v>0</v>
      </c>
      <c r="Y21" s="4">
        <f t="shared" si="2"/>
        <v>0</v>
      </c>
      <c r="Z21" s="4">
        <f t="shared" si="3"/>
        <v>0</v>
      </c>
      <c r="AA21" s="4">
        <f t="shared" si="4"/>
        <v>0</v>
      </c>
    </row>
    <row r="22" spans="1:27">
      <c r="A22" s="46">
        <v>42278</v>
      </c>
      <c r="B22" s="47">
        <v>0.4375</v>
      </c>
      <c r="C22" s="46">
        <v>42279</v>
      </c>
      <c r="D22" s="47">
        <v>0.47916666666666669</v>
      </c>
      <c r="E22" s="48">
        <v>25</v>
      </c>
      <c r="F22" s="49">
        <v>1.5</v>
      </c>
      <c r="G22" s="49">
        <v>2.4</v>
      </c>
      <c r="H22" s="4">
        <v>2409</v>
      </c>
      <c r="I22" s="4">
        <v>3275</v>
      </c>
      <c r="J22" s="48">
        <f t="shared" si="5"/>
        <v>49.509722222222223</v>
      </c>
      <c r="K22" s="4">
        <v>5890</v>
      </c>
      <c r="L22" s="4">
        <v>66</v>
      </c>
      <c r="M22" s="50">
        <v>4.2</v>
      </c>
      <c r="P22" s="4">
        <v>0</v>
      </c>
      <c r="Q22" s="4">
        <v>0</v>
      </c>
      <c r="R22" s="4">
        <v>0</v>
      </c>
      <c r="S22" s="4">
        <v>0</v>
      </c>
      <c r="T22" s="51">
        <v>0</v>
      </c>
      <c r="U22" s="51">
        <v>0</v>
      </c>
      <c r="V22" s="51">
        <v>0</v>
      </c>
      <c r="W22" s="4">
        <f t="shared" si="0"/>
        <v>0</v>
      </c>
      <c r="X22" s="4">
        <f t="shared" si="1"/>
        <v>0</v>
      </c>
      <c r="Y22" s="4">
        <f t="shared" si="2"/>
        <v>0</v>
      </c>
      <c r="Z22" s="4">
        <f t="shared" si="3"/>
        <v>0</v>
      </c>
      <c r="AA22" s="4">
        <f t="shared" si="4"/>
        <v>0</v>
      </c>
    </row>
    <row r="23" spans="1:27">
      <c r="A23" s="46">
        <v>42279</v>
      </c>
      <c r="B23" s="47">
        <v>0.47916666666666669</v>
      </c>
      <c r="C23" s="46">
        <v>42280</v>
      </c>
      <c r="D23" s="47">
        <v>0.39583333333333331</v>
      </c>
      <c r="E23" s="48">
        <v>22</v>
      </c>
      <c r="F23" s="49">
        <v>1.7</v>
      </c>
      <c r="G23" s="49">
        <v>2.4</v>
      </c>
      <c r="H23" s="4">
        <v>2628</v>
      </c>
      <c r="I23" s="4">
        <v>3024</v>
      </c>
      <c r="J23" s="48">
        <f t="shared" si="5"/>
        <v>46.764705882352942</v>
      </c>
      <c r="K23" s="4">
        <v>5950</v>
      </c>
      <c r="L23" s="4">
        <v>62</v>
      </c>
      <c r="M23" s="50">
        <v>6</v>
      </c>
      <c r="P23" s="4">
        <v>0</v>
      </c>
      <c r="Q23" s="4">
        <v>0</v>
      </c>
      <c r="R23" s="4">
        <v>0</v>
      </c>
      <c r="S23" s="4">
        <v>0</v>
      </c>
      <c r="T23" s="51">
        <v>0</v>
      </c>
      <c r="U23" s="51">
        <v>0</v>
      </c>
      <c r="V23" s="51">
        <v>0</v>
      </c>
      <c r="W23" s="4">
        <f t="shared" si="0"/>
        <v>0</v>
      </c>
      <c r="X23" s="4">
        <f t="shared" si="1"/>
        <v>0</v>
      </c>
      <c r="Y23" s="4">
        <f t="shared" si="2"/>
        <v>0</v>
      </c>
      <c r="Z23" s="4">
        <f t="shared" si="3"/>
        <v>0</v>
      </c>
      <c r="AA23" s="4">
        <f t="shared" si="4"/>
        <v>0</v>
      </c>
    </row>
    <row r="24" spans="1:27">
      <c r="A24" s="46">
        <v>42280</v>
      </c>
      <c r="B24" s="47">
        <v>0.39583333333333331</v>
      </c>
      <c r="C24" s="46">
        <v>42281</v>
      </c>
      <c r="D24" s="47">
        <v>0.41666666666666669</v>
      </c>
      <c r="E24" s="48">
        <v>24.5</v>
      </c>
      <c r="F24" s="49">
        <v>1.5</v>
      </c>
      <c r="G24" s="49">
        <v>2.2999999999999998</v>
      </c>
      <c r="H24" s="4">
        <v>1541</v>
      </c>
      <c r="I24" s="4">
        <v>3263</v>
      </c>
      <c r="J24" s="48">
        <f t="shared" si="5"/>
        <v>40.76714975845411</v>
      </c>
      <c r="K24" s="4">
        <v>5960</v>
      </c>
      <c r="L24" s="4">
        <v>64</v>
      </c>
      <c r="M24" s="50">
        <v>6.11</v>
      </c>
      <c r="P24" s="4">
        <v>0</v>
      </c>
      <c r="Q24" s="4">
        <v>0</v>
      </c>
      <c r="R24" s="4">
        <v>0</v>
      </c>
      <c r="S24" s="4">
        <v>0</v>
      </c>
      <c r="T24" s="51">
        <v>0</v>
      </c>
      <c r="U24" s="51">
        <v>0</v>
      </c>
      <c r="V24" s="51">
        <v>0</v>
      </c>
      <c r="W24" s="4">
        <f t="shared" si="0"/>
        <v>0</v>
      </c>
      <c r="X24" s="4">
        <f t="shared" si="1"/>
        <v>0</v>
      </c>
      <c r="Y24" s="4">
        <f t="shared" si="2"/>
        <v>0</v>
      </c>
      <c r="Z24" s="4">
        <f t="shared" si="3"/>
        <v>0</v>
      </c>
      <c r="AA24" s="4">
        <f t="shared" si="4"/>
        <v>0</v>
      </c>
    </row>
    <row r="25" spans="1:27">
      <c r="A25" s="46">
        <v>42281</v>
      </c>
      <c r="B25" s="47">
        <v>0.41666666666666669</v>
      </c>
      <c r="C25" s="46">
        <v>41917</v>
      </c>
      <c r="D25" s="47">
        <v>0.41666666666666669</v>
      </c>
      <c r="E25" s="48">
        <v>24</v>
      </c>
      <c r="F25" s="49">
        <v>1.5</v>
      </c>
      <c r="G25" s="49">
        <v>2.2000000000000002</v>
      </c>
      <c r="H25" s="4">
        <v>2649</v>
      </c>
      <c r="I25" s="4">
        <v>3163</v>
      </c>
      <c r="J25" s="48">
        <f t="shared" si="5"/>
        <v>53.395454545454541</v>
      </c>
      <c r="K25" s="4">
        <v>5890</v>
      </c>
      <c r="L25" s="4">
        <v>65</v>
      </c>
      <c r="M25" s="50">
        <v>4.5</v>
      </c>
      <c r="P25" s="4">
        <v>0</v>
      </c>
      <c r="Q25" s="4">
        <v>0</v>
      </c>
      <c r="R25" s="4">
        <v>0</v>
      </c>
      <c r="S25" s="4">
        <v>0</v>
      </c>
      <c r="T25" s="51">
        <v>0</v>
      </c>
      <c r="U25" s="51">
        <v>0</v>
      </c>
      <c r="V25" s="51">
        <v>0</v>
      </c>
      <c r="W25" s="4">
        <f t="shared" si="0"/>
        <v>0</v>
      </c>
      <c r="X25" s="4">
        <f t="shared" si="1"/>
        <v>0</v>
      </c>
      <c r="Y25" s="4">
        <f t="shared" si="2"/>
        <v>0</v>
      </c>
      <c r="Z25" s="4">
        <f t="shared" si="3"/>
        <v>0</v>
      </c>
      <c r="AA25" s="4">
        <f t="shared" si="4"/>
        <v>0</v>
      </c>
    </row>
    <row r="26" spans="1:27">
      <c r="A26" s="46">
        <v>41917</v>
      </c>
      <c r="B26" s="47">
        <v>0.41666666666666669</v>
      </c>
      <c r="C26" s="46">
        <v>42283</v>
      </c>
      <c r="D26" s="47">
        <v>0.45833333333333331</v>
      </c>
      <c r="E26" s="48">
        <v>25</v>
      </c>
      <c r="F26" s="49">
        <v>1.5</v>
      </c>
      <c r="G26" s="49">
        <v>2.4</v>
      </c>
      <c r="H26" s="4">
        <v>2659</v>
      </c>
      <c r="I26" s="4">
        <v>3194</v>
      </c>
      <c r="J26" s="48">
        <f t="shared" si="5"/>
        <v>51.725000000000001</v>
      </c>
      <c r="K26" s="4">
        <v>5850</v>
      </c>
      <c r="L26" s="4">
        <v>66</v>
      </c>
      <c r="M26" s="50">
        <v>4.63</v>
      </c>
      <c r="P26" s="4">
        <v>0</v>
      </c>
      <c r="Q26" s="4">
        <v>0</v>
      </c>
      <c r="R26" s="4">
        <v>0</v>
      </c>
      <c r="S26" s="4">
        <v>0</v>
      </c>
      <c r="T26" s="51">
        <v>0</v>
      </c>
      <c r="U26" s="51">
        <v>0</v>
      </c>
      <c r="V26" s="51">
        <v>0</v>
      </c>
      <c r="W26" s="4">
        <f t="shared" si="0"/>
        <v>0</v>
      </c>
      <c r="X26" s="4">
        <f t="shared" si="1"/>
        <v>0</v>
      </c>
      <c r="Y26" s="4">
        <f t="shared" si="2"/>
        <v>0</v>
      </c>
      <c r="Z26" s="4">
        <f t="shared" si="3"/>
        <v>0</v>
      </c>
      <c r="AA26" s="4">
        <f t="shared" si="4"/>
        <v>0</v>
      </c>
    </row>
    <row r="27" spans="1:27">
      <c r="A27" s="46">
        <v>42283</v>
      </c>
      <c r="B27" s="47">
        <v>0.45833333333333331</v>
      </c>
      <c r="C27" s="46">
        <v>42284</v>
      </c>
      <c r="D27" s="47">
        <v>0.40625</v>
      </c>
      <c r="E27" s="48">
        <v>22.75</v>
      </c>
      <c r="F27" s="49">
        <v>1.5</v>
      </c>
      <c r="G27" s="49">
        <v>2.1</v>
      </c>
      <c r="H27" s="4">
        <v>2569</v>
      </c>
      <c r="I27" s="4">
        <v>2883</v>
      </c>
      <c r="J27" s="48">
        <f t="shared" si="5"/>
        <v>51.425396825396824</v>
      </c>
      <c r="K27" s="4">
        <v>5860</v>
      </c>
      <c r="L27" s="4">
        <v>66</v>
      </c>
      <c r="M27" s="50">
        <v>4.45</v>
      </c>
      <c r="P27" s="4">
        <v>0</v>
      </c>
      <c r="Q27" s="4">
        <v>0</v>
      </c>
      <c r="R27" s="4">
        <v>0</v>
      </c>
      <c r="S27" s="4">
        <v>0</v>
      </c>
      <c r="T27" s="51">
        <v>0</v>
      </c>
      <c r="U27" s="51">
        <v>0</v>
      </c>
      <c r="V27" s="51">
        <v>0</v>
      </c>
      <c r="W27" s="4">
        <f t="shared" si="0"/>
        <v>0</v>
      </c>
      <c r="X27" s="4">
        <f t="shared" si="1"/>
        <v>0</v>
      </c>
      <c r="Y27" s="4">
        <f t="shared" si="2"/>
        <v>0</v>
      </c>
      <c r="Z27" s="4">
        <f t="shared" si="3"/>
        <v>0</v>
      </c>
      <c r="AA27" s="4">
        <f t="shared" si="4"/>
        <v>0</v>
      </c>
    </row>
    <row r="28" spans="1:27">
      <c r="A28" s="46">
        <v>42284</v>
      </c>
      <c r="B28" s="47">
        <v>0.40625</v>
      </c>
      <c r="C28" s="46">
        <v>42285</v>
      </c>
      <c r="D28" s="47">
        <v>0.42708333333333331</v>
      </c>
      <c r="E28" s="48">
        <v>24.5</v>
      </c>
      <c r="F28" s="49">
        <v>1.5</v>
      </c>
      <c r="G28" s="49">
        <v>2.2000000000000002</v>
      </c>
      <c r="H28" s="4">
        <v>2505</v>
      </c>
      <c r="I28" s="4">
        <v>2999</v>
      </c>
      <c r="J28" s="48">
        <f t="shared" si="5"/>
        <v>50.553030303030297</v>
      </c>
      <c r="K28" s="4">
        <v>5920</v>
      </c>
      <c r="L28" s="4">
        <v>66</v>
      </c>
      <c r="M28" s="50">
        <v>5.22</v>
      </c>
      <c r="P28" s="4">
        <v>0</v>
      </c>
      <c r="Q28" s="4">
        <v>0</v>
      </c>
      <c r="R28" s="4">
        <v>0</v>
      </c>
      <c r="S28" s="4">
        <v>0</v>
      </c>
      <c r="T28" s="51">
        <v>0</v>
      </c>
      <c r="U28" s="51">
        <v>0</v>
      </c>
      <c r="V28" s="51">
        <v>0</v>
      </c>
      <c r="W28" s="4">
        <f t="shared" si="0"/>
        <v>0</v>
      </c>
      <c r="X28" s="4">
        <f t="shared" si="1"/>
        <v>0</v>
      </c>
      <c r="Y28" s="4">
        <f t="shared" si="2"/>
        <v>0</v>
      </c>
      <c r="Z28" s="4">
        <f t="shared" si="3"/>
        <v>0</v>
      </c>
      <c r="AA28" s="4">
        <f t="shared" si="4"/>
        <v>0</v>
      </c>
    </row>
    <row r="29" spans="1:27">
      <c r="A29" s="46">
        <v>42285</v>
      </c>
      <c r="B29" s="47">
        <v>0.42708333333333331</v>
      </c>
      <c r="C29" s="46">
        <v>42286</v>
      </c>
      <c r="D29" s="47">
        <v>0.38541666666666669</v>
      </c>
      <c r="E29" s="48">
        <v>23</v>
      </c>
      <c r="F29" s="49">
        <v>1.3</v>
      </c>
      <c r="G29" s="49">
        <v>2.1</v>
      </c>
      <c r="H29" s="4">
        <v>44</v>
      </c>
      <c r="I29" s="4">
        <v>661</v>
      </c>
      <c r="J29" s="48">
        <f t="shared" si="5"/>
        <v>5.8101343101343108</v>
      </c>
      <c r="K29" s="4">
        <v>5880</v>
      </c>
      <c r="L29" s="4">
        <v>67</v>
      </c>
      <c r="M29" s="50">
        <v>4.3</v>
      </c>
      <c r="P29" s="4">
        <v>0</v>
      </c>
      <c r="Q29" s="4">
        <v>0</v>
      </c>
      <c r="R29" s="4">
        <v>0</v>
      </c>
      <c r="S29" s="4">
        <v>0</v>
      </c>
      <c r="T29" s="51">
        <v>0</v>
      </c>
      <c r="U29" s="51">
        <v>0</v>
      </c>
      <c r="V29" s="51">
        <v>0</v>
      </c>
      <c r="W29" s="4">
        <f t="shared" si="0"/>
        <v>0</v>
      </c>
      <c r="X29" s="4">
        <f t="shared" si="1"/>
        <v>0</v>
      </c>
      <c r="Y29" s="4">
        <f t="shared" si="2"/>
        <v>0</v>
      </c>
      <c r="Z29" s="4">
        <f t="shared" si="3"/>
        <v>0</v>
      </c>
      <c r="AA29" s="4">
        <f t="shared" si="4"/>
        <v>0</v>
      </c>
    </row>
    <row r="30" spans="1:27">
      <c r="A30" s="46">
        <v>42286</v>
      </c>
      <c r="B30" s="47">
        <v>0.38541666666666669</v>
      </c>
      <c r="C30" s="46">
        <v>42287</v>
      </c>
      <c r="D30" s="47">
        <v>0.42708333333333331</v>
      </c>
      <c r="E30" s="48">
        <v>25</v>
      </c>
      <c r="F30" s="49">
        <v>1.3</v>
      </c>
      <c r="G30" s="49">
        <v>2.1</v>
      </c>
      <c r="H30" s="4">
        <v>2616</v>
      </c>
      <c r="I30" s="4">
        <v>2937</v>
      </c>
      <c r="J30" s="48">
        <f t="shared" si="5"/>
        <v>56.84798534798535</v>
      </c>
      <c r="K30" s="4">
        <v>5820</v>
      </c>
      <c r="L30" s="4">
        <v>68</v>
      </c>
      <c r="M30" s="50">
        <v>6.9</v>
      </c>
      <c r="P30" s="4">
        <v>0</v>
      </c>
      <c r="Q30" s="4">
        <v>0</v>
      </c>
      <c r="R30" s="4">
        <v>0</v>
      </c>
      <c r="S30" s="4">
        <v>0</v>
      </c>
      <c r="T30" s="51">
        <v>0</v>
      </c>
      <c r="U30" s="51">
        <v>0</v>
      </c>
      <c r="V30" s="51">
        <v>0</v>
      </c>
      <c r="W30" s="4">
        <f t="shared" si="0"/>
        <v>0</v>
      </c>
      <c r="X30" s="4">
        <f t="shared" si="1"/>
        <v>0</v>
      </c>
      <c r="Y30" s="4">
        <f t="shared" si="2"/>
        <v>0</v>
      </c>
      <c r="Z30" s="4">
        <f t="shared" si="3"/>
        <v>0</v>
      </c>
      <c r="AA30" s="4">
        <f t="shared" si="4"/>
        <v>0</v>
      </c>
    </row>
    <row r="31" spans="1:27">
      <c r="A31" s="46">
        <v>42287</v>
      </c>
      <c r="B31" s="47">
        <v>0.42708333333333331</v>
      </c>
      <c r="C31" s="46">
        <v>42288</v>
      </c>
      <c r="D31" s="47">
        <v>0.42708333333333331</v>
      </c>
      <c r="E31" s="48">
        <v>24</v>
      </c>
      <c r="F31" s="49">
        <v>1.2</v>
      </c>
      <c r="G31" s="49">
        <v>2.2000000000000002</v>
      </c>
      <c r="H31" s="4">
        <v>1870</v>
      </c>
      <c r="I31" s="4">
        <v>2799</v>
      </c>
      <c r="J31" s="48">
        <f t="shared" si="5"/>
        <v>47.176767676767682</v>
      </c>
      <c r="K31" s="4">
        <v>5750</v>
      </c>
      <c r="L31" s="4">
        <v>67</v>
      </c>
      <c r="M31" s="50">
        <v>6</v>
      </c>
      <c r="P31" s="4">
        <v>0</v>
      </c>
      <c r="Q31" s="4">
        <v>0</v>
      </c>
      <c r="R31" s="4">
        <v>0</v>
      </c>
      <c r="S31" s="4">
        <v>0</v>
      </c>
      <c r="T31" s="51">
        <v>0</v>
      </c>
      <c r="U31" s="51">
        <v>0</v>
      </c>
      <c r="V31" s="51">
        <v>0</v>
      </c>
      <c r="W31" s="4">
        <f t="shared" si="0"/>
        <v>0</v>
      </c>
      <c r="X31" s="4">
        <f t="shared" si="1"/>
        <v>0</v>
      </c>
      <c r="Y31" s="4">
        <f t="shared" si="2"/>
        <v>0</v>
      </c>
      <c r="Z31" s="4">
        <f t="shared" si="3"/>
        <v>0</v>
      </c>
      <c r="AA31" s="4">
        <f t="shared" si="4"/>
        <v>0</v>
      </c>
    </row>
    <row r="32" spans="1:27">
      <c r="A32" s="46">
        <v>42288</v>
      </c>
      <c r="B32" s="47">
        <v>0.42708333333333331</v>
      </c>
      <c r="C32" s="46">
        <v>42289</v>
      </c>
      <c r="D32" s="47">
        <v>0.38541666666666669</v>
      </c>
      <c r="E32" s="48">
        <v>23</v>
      </c>
      <c r="F32" s="49">
        <v>1.4</v>
      </c>
      <c r="G32" s="49">
        <v>1.8</v>
      </c>
      <c r="H32" s="4">
        <v>2413</v>
      </c>
      <c r="I32" s="4">
        <v>2547</v>
      </c>
      <c r="J32" s="48">
        <f t="shared" si="5"/>
        <v>52.30952380952381</v>
      </c>
      <c r="K32" s="4">
        <v>5720</v>
      </c>
      <c r="L32" s="4">
        <v>66</v>
      </c>
      <c r="M32" s="50">
        <v>5</v>
      </c>
      <c r="P32" s="4">
        <v>0</v>
      </c>
      <c r="Q32" s="4">
        <v>0</v>
      </c>
      <c r="R32" s="4">
        <v>0</v>
      </c>
      <c r="S32" s="4">
        <v>0</v>
      </c>
      <c r="T32" s="51">
        <v>0</v>
      </c>
      <c r="U32" s="51">
        <v>0</v>
      </c>
      <c r="V32" s="51">
        <v>0</v>
      </c>
      <c r="W32" s="4">
        <f t="shared" si="0"/>
        <v>0</v>
      </c>
      <c r="X32" s="4">
        <f t="shared" si="1"/>
        <v>0</v>
      </c>
      <c r="Y32" s="4">
        <f t="shared" si="2"/>
        <v>0</v>
      </c>
      <c r="Z32" s="4">
        <f t="shared" si="3"/>
        <v>0</v>
      </c>
      <c r="AA32" s="4">
        <f t="shared" si="4"/>
        <v>0</v>
      </c>
    </row>
    <row r="33" spans="1:28">
      <c r="A33" s="46">
        <v>42289</v>
      </c>
      <c r="B33" s="47">
        <v>0.38541666666666669</v>
      </c>
      <c r="C33" s="46">
        <v>42290</v>
      </c>
      <c r="D33" s="47">
        <v>0.40625</v>
      </c>
      <c r="E33" s="48">
        <v>24.5</v>
      </c>
      <c r="F33" s="49">
        <v>1.2</v>
      </c>
      <c r="G33" s="49">
        <v>1.6</v>
      </c>
      <c r="H33" s="4">
        <v>2021</v>
      </c>
      <c r="I33" s="4">
        <v>2473</v>
      </c>
      <c r="J33" s="48">
        <f t="shared" si="5"/>
        <v>53.829861111111114</v>
      </c>
      <c r="K33" s="4">
        <v>5630</v>
      </c>
      <c r="L33" s="4">
        <v>66</v>
      </c>
      <c r="M33" s="50">
        <v>5.41</v>
      </c>
      <c r="P33" s="4">
        <v>0</v>
      </c>
      <c r="Q33" s="4">
        <v>0</v>
      </c>
      <c r="R33" s="4">
        <v>0</v>
      </c>
      <c r="S33" s="4">
        <v>0</v>
      </c>
      <c r="T33" s="51">
        <v>0</v>
      </c>
      <c r="U33" s="51">
        <v>0</v>
      </c>
      <c r="V33" s="51">
        <v>0</v>
      </c>
      <c r="W33" s="4">
        <f t="shared" si="0"/>
        <v>0</v>
      </c>
      <c r="X33" s="4">
        <f t="shared" si="1"/>
        <v>0</v>
      </c>
      <c r="Y33" s="4">
        <f t="shared" si="2"/>
        <v>0</v>
      </c>
      <c r="Z33" s="4">
        <f t="shared" si="3"/>
        <v>0</v>
      </c>
      <c r="AA33" s="4">
        <f t="shared" si="4"/>
        <v>0</v>
      </c>
    </row>
    <row r="34" spans="1:28">
      <c r="A34" s="46">
        <v>42290</v>
      </c>
      <c r="B34" s="47">
        <v>0.40625</v>
      </c>
      <c r="C34" s="46">
        <v>42291</v>
      </c>
      <c r="D34" s="47">
        <v>0.42708333333333331</v>
      </c>
      <c r="E34" s="48">
        <v>24.5</v>
      </c>
      <c r="F34" s="49">
        <v>1</v>
      </c>
      <c r="G34" s="49">
        <v>1.7</v>
      </c>
      <c r="H34" s="4">
        <v>1938</v>
      </c>
      <c r="I34" s="4">
        <v>2390</v>
      </c>
      <c r="J34" s="48">
        <f t="shared" si="5"/>
        <v>55.731372549019611</v>
      </c>
      <c r="K34" s="4">
        <v>5660</v>
      </c>
      <c r="L34" s="4">
        <v>67</v>
      </c>
      <c r="M34" s="50">
        <v>4.8</v>
      </c>
      <c r="P34" s="4">
        <v>0</v>
      </c>
      <c r="Q34" s="4">
        <v>0</v>
      </c>
      <c r="R34" s="4">
        <v>0</v>
      </c>
      <c r="S34" s="4">
        <v>0</v>
      </c>
      <c r="T34" s="51">
        <v>0</v>
      </c>
      <c r="U34" s="51">
        <v>0</v>
      </c>
      <c r="V34" s="51">
        <v>0</v>
      </c>
      <c r="W34" s="4">
        <f t="shared" si="0"/>
        <v>0</v>
      </c>
      <c r="X34" s="4">
        <f t="shared" si="1"/>
        <v>0</v>
      </c>
      <c r="Y34" s="4">
        <f t="shared" si="2"/>
        <v>0</v>
      </c>
      <c r="Z34" s="4">
        <f t="shared" si="3"/>
        <v>0</v>
      </c>
      <c r="AA34" s="4">
        <f t="shared" si="4"/>
        <v>0</v>
      </c>
    </row>
    <row r="35" spans="1:28">
      <c r="A35" s="46">
        <v>42291</v>
      </c>
      <c r="B35" s="47">
        <v>0.42708333333333331</v>
      </c>
      <c r="C35" s="46">
        <v>42292</v>
      </c>
      <c r="D35" s="47">
        <v>0.39583333333333331</v>
      </c>
      <c r="E35" s="48">
        <v>23.25</v>
      </c>
      <c r="F35" s="49">
        <v>1</v>
      </c>
      <c r="G35" s="49">
        <v>1.7</v>
      </c>
      <c r="H35" s="4">
        <v>1467</v>
      </c>
      <c r="I35" s="4">
        <v>2239</v>
      </c>
      <c r="J35" s="48">
        <f t="shared" si="5"/>
        <v>46.40098039215686</v>
      </c>
      <c r="K35" s="4">
        <v>5710</v>
      </c>
      <c r="L35" s="4">
        <v>67</v>
      </c>
      <c r="M35" s="50">
        <v>4.08</v>
      </c>
      <c r="P35" s="4">
        <v>0</v>
      </c>
      <c r="Q35" s="4">
        <v>0</v>
      </c>
      <c r="R35" s="4">
        <v>0</v>
      </c>
      <c r="S35" s="4">
        <v>0</v>
      </c>
      <c r="T35" s="51">
        <v>0</v>
      </c>
      <c r="U35" s="51">
        <v>0</v>
      </c>
      <c r="V35" s="51">
        <v>0</v>
      </c>
      <c r="W35" s="4">
        <f t="shared" si="0"/>
        <v>0</v>
      </c>
      <c r="X35" s="4">
        <f t="shared" si="1"/>
        <v>0</v>
      </c>
      <c r="Y35" s="4">
        <f t="shared" si="2"/>
        <v>0</v>
      </c>
      <c r="Z35" s="4">
        <f t="shared" si="3"/>
        <v>0</v>
      </c>
      <c r="AA35" s="4">
        <f t="shared" si="4"/>
        <v>0</v>
      </c>
    </row>
    <row r="36" spans="1:28">
      <c r="A36" s="46">
        <v>42292</v>
      </c>
      <c r="B36" s="47">
        <v>0.39583333333333331</v>
      </c>
      <c r="C36" s="46">
        <v>42293</v>
      </c>
      <c r="D36" s="47">
        <v>0.39583333333333331</v>
      </c>
      <c r="E36" s="48">
        <v>24</v>
      </c>
      <c r="F36" s="49">
        <v>0.9</v>
      </c>
      <c r="G36" s="49">
        <v>1.6</v>
      </c>
      <c r="H36" s="4">
        <v>1225</v>
      </c>
      <c r="I36" s="4">
        <v>2034</v>
      </c>
      <c r="J36" s="48">
        <f t="shared" si="5"/>
        <v>43.87268518518519</v>
      </c>
      <c r="K36" s="4">
        <v>5670</v>
      </c>
      <c r="L36" s="4">
        <v>66</v>
      </c>
      <c r="M36" s="50">
        <v>6.22</v>
      </c>
      <c r="P36" s="4">
        <v>0</v>
      </c>
      <c r="Q36" s="4">
        <v>0</v>
      </c>
      <c r="R36" s="4">
        <v>0</v>
      </c>
      <c r="S36" s="4">
        <v>0</v>
      </c>
      <c r="T36" s="51">
        <v>0</v>
      </c>
      <c r="U36" s="51">
        <v>0</v>
      </c>
      <c r="V36" s="51">
        <v>0</v>
      </c>
      <c r="W36" s="4">
        <f t="shared" si="0"/>
        <v>0</v>
      </c>
      <c r="X36" s="4">
        <f t="shared" si="1"/>
        <v>0</v>
      </c>
      <c r="Y36" s="4">
        <f t="shared" si="2"/>
        <v>0</v>
      </c>
      <c r="Z36" s="4">
        <f t="shared" si="3"/>
        <v>0</v>
      </c>
      <c r="AA36" s="4">
        <f t="shared" si="4"/>
        <v>0</v>
      </c>
    </row>
    <row r="37" spans="1:28">
      <c r="A37" s="46">
        <v>42293</v>
      </c>
      <c r="B37" s="47">
        <v>0.39583333333333331</v>
      </c>
      <c r="C37" s="46">
        <v>42294</v>
      </c>
      <c r="D37" s="47">
        <v>0.39583333333333331</v>
      </c>
      <c r="E37" s="48">
        <v>24</v>
      </c>
      <c r="F37" s="49">
        <v>0.9</v>
      </c>
      <c r="G37" s="49">
        <v>1.3</v>
      </c>
      <c r="H37" s="4">
        <v>1380</v>
      </c>
      <c r="I37" s="4">
        <v>513</v>
      </c>
      <c r="J37" s="48">
        <f t="shared" si="5"/>
        <v>32.13247863247863</v>
      </c>
      <c r="K37" s="4">
        <v>5630</v>
      </c>
      <c r="L37" s="4">
        <v>66</v>
      </c>
      <c r="M37" s="50">
        <v>5.94</v>
      </c>
      <c r="P37" s="4">
        <v>0</v>
      </c>
      <c r="Q37" s="4">
        <v>0</v>
      </c>
      <c r="R37" s="4">
        <v>0</v>
      </c>
      <c r="S37" s="4">
        <v>0</v>
      </c>
      <c r="T37" s="51">
        <v>0</v>
      </c>
      <c r="U37" s="51">
        <v>0</v>
      </c>
      <c r="V37" s="51">
        <v>0</v>
      </c>
      <c r="W37" s="4">
        <f t="shared" si="0"/>
        <v>0</v>
      </c>
      <c r="X37" s="4">
        <f t="shared" si="1"/>
        <v>0</v>
      </c>
      <c r="Y37" s="4">
        <f t="shared" si="2"/>
        <v>0</v>
      </c>
      <c r="Z37" s="4">
        <f t="shared" si="3"/>
        <v>0</v>
      </c>
      <c r="AA37" s="4">
        <f t="shared" si="4"/>
        <v>0</v>
      </c>
    </row>
    <row r="38" spans="1:28">
      <c r="A38" s="46">
        <v>42294</v>
      </c>
      <c r="B38" s="47">
        <v>0.39583333333333331</v>
      </c>
      <c r="C38" s="46">
        <v>42295</v>
      </c>
      <c r="D38" s="47">
        <v>0.42708333333333331</v>
      </c>
      <c r="E38" s="48">
        <v>24.75</v>
      </c>
      <c r="F38" s="49">
        <v>1</v>
      </c>
      <c r="G38" s="49">
        <v>1.7</v>
      </c>
      <c r="H38" s="4">
        <v>228</v>
      </c>
      <c r="I38" s="4">
        <v>2580</v>
      </c>
      <c r="J38" s="48">
        <f t="shared" si="5"/>
        <v>29.094117647058827</v>
      </c>
      <c r="K38" s="4">
        <v>5610</v>
      </c>
      <c r="L38" s="4">
        <v>66</v>
      </c>
      <c r="M38" s="50">
        <v>5.73</v>
      </c>
      <c r="N38" s="4">
        <v>36</v>
      </c>
      <c r="O38" s="4">
        <v>36</v>
      </c>
      <c r="P38" s="4">
        <v>0</v>
      </c>
      <c r="Q38" s="4">
        <v>0</v>
      </c>
      <c r="R38" s="4">
        <v>1</v>
      </c>
      <c r="S38" s="4">
        <v>0</v>
      </c>
      <c r="T38" s="51">
        <v>0</v>
      </c>
      <c r="U38" s="51">
        <v>0</v>
      </c>
      <c r="V38" s="51">
        <v>0</v>
      </c>
      <c r="W38" s="4">
        <f t="shared" si="0"/>
        <v>0</v>
      </c>
      <c r="X38" s="4">
        <f t="shared" si="1"/>
        <v>0</v>
      </c>
      <c r="Y38" s="4">
        <f t="shared" si="2"/>
        <v>3.4371209057824502E-2</v>
      </c>
      <c r="Z38" s="4">
        <f t="shared" si="3"/>
        <v>0</v>
      </c>
      <c r="AA38" s="4">
        <f t="shared" si="4"/>
        <v>0</v>
      </c>
    </row>
    <row r="39" spans="1:28">
      <c r="A39" s="46">
        <v>42295</v>
      </c>
      <c r="B39" s="47">
        <v>0.42708333333333331</v>
      </c>
      <c r="C39" s="46">
        <v>42296</v>
      </c>
      <c r="D39" s="47">
        <v>0.39583333333333331</v>
      </c>
      <c r="E39" s="48">
        <v>23.25</v>
      </c>
      <c r="F39" s="49">
        <v>1.1000000000000001</v>
      </c>
      <c r="G39" s="49">
        <v>1.6</v>
      </c>
      <c r="H39" s="4">
        <v>462</v>
      </c>
      <c r="I39" s="4">
        <v>2460</v>
      </c>
      <c r="J39" s="48">
        <f t="shared" si="5"/>
        <v>32.625</v>
      </c>
      <c r="K39" s="4">
        <v>5700</v>
      </c>
      <c r="L39" s="4">
        <v>64</v>
      </c>
      <c r="M39" s="50">
        <v>4.6500000000000004</v>
      </c>
      <c r="P39" s="4">
        <v>0</v>
      </c>
      <c r="Q39" s="4">
        <v>0</v>
      </c>
      <c r="R39" s="4">
        <v>0</v>
      </c>
      <c r="S39" s="4">
        <v>0</v>
      </c>
      <c r="T39" s="51">
        <v>0</v>
      </c>
      <c r="U39" s="51">
        <v>0</v>
      </c>
      <c r="V39" s="51">
        <v>0</v>
      </c>
      <c r="W39" s="4">
        <f t="shared" si="0"/>
        <v>0</v>
      </c>
      <c r="X39" s="4">
        <f t="shared" si="1"/>
        <v>0</v>
      </c>
      <c r="Y39" s="4">
        <f t="shared" si="2"/>
        <v>0</v>
      </c>
      <c r="Z39" s="4">
        <f t="shared" si="3"/>
        <v>0</v>
      </c>
      <c r="AA39" s="4">
        <f t="shared" si="4"/>
        <v>0</v>
      </c>
    </row>
    <row r="40" spans="1:28">
      <c r="A40" s="46">
        <v>42296</v>
      </c>
      <c r="B40" s="47">
        <v>0.39583333333333331</v>
      </c>
      <c r="C40" s="46">
        <v>42297</v>
      </c>
      <c r="D40" s="47">
        <v>0.39583333333333331</v>
      </c>
      <c r="E40" s="48">
        <v>24</v>
      </c>
      <c r="F40" s="49">
        <v>1.3</v>
      </c>
      <c r="G40" s="49">
        <v>1.5</v>
      </c>
      <c r="H40" s="4">
        <v>1724</v>
      </c>
      <c r="I40" s="4">
        <v>2220</v>
      </c>
      <c r="J40" s="48">
        <f t="shared" si="5"/>
        <v>46.769230769230766</v>
      </c>
      <c r="K40" s="4">
        <v>5700</v>
      </c>
      <c r="L40" s="4">
        <v>64</v>
      </c>
      <c r="M40" s="50">
        <v>4.9000000000000004</v>
      </c>
      <c r="P40" s="4">
        <v>0</v>
      </c>
      <c r="Q40" s="4">
        <v>0</v>
      </c>
      <c r="R40" s="4">
        <v>0</v>
      </c>
      <c r="S40" s="4">
        <v>0</v>
      </c>
      <c r="T40" s="51">
        <v>0</v>
      </c>
      <c r="U40" s="51">
        <v>0</v>
      </c>
      <c r="V40" s="51">
        <v>0</v>
      </c>
      <c r="W40" s="4">
        <f t="shared" si="0"/>
        <v>0</v>
      </c>
      <c r="X40" s="4">
        <f t="shared" si="1"/>
        <v>0</v>
      </c>
      <c r="Y40" s="4">
        <f t="shared" si="2"/>
        <v>0</v>
      </c>
      <c r="Z40" s="4">
        <f t="shared" si="3"/>
        <v>0</v>
      </c>
      <c r="AA40" s="4">
        <f t="shared" si="4"/>
        <v>0</v>
      </c>
    </row>
    <row r="41" spans="1:28">
      <c r="A41" s="46">
        <v>42297</v>
      </c>
      <c r="B41" s="47">
        <v>0.39583333333333331</v>
      </c>
      <c r="C41" s="46">
        <v>42298</v>
      </c>
      <c r="D41" s="47">
        <v>0.39583333333333331</v>
      </c>
      <c r="E41" s="48">
        <v>24</v>
      </c>
      <c r="F41" s="49">
        <v>1</v>
      </c>
      <c r="G41" s="49">
        <v>1.5</v>
      </c>
      <c r="H41" s="4">
        <v>2065</v>
      </c>
      <c r="I41" s="4">
        <v>2176</v>
      </c>
      <c r="J41" s="48">
        <f t="shared" si="5"/>
        <v>58.594444444444449</v>
      </c>
      <c r="K41" s="4">
        <v>5810</v>
      </c>
      <c r="L41" s="4">
        <v>63.5</v>
      </c>
      <c r="M41" s="50">
        <v>6.67</v>
      </c>
      <c r="P41" s="4">
        <v>0</v>
      </c>
      <c r="Q41" s="4">
        <v>0</v>
      </c>
      <c r="R41" s="4">
        <v>0</v>
      </c>
      <c r="S41" s="4">
        <v>0</v>
      </c>
      <c r="T41" s="51">
        <v>0</v>
      </c>
      <c r="U41" s="51">
        <v>0</v>
      </c>
      <c r="V41" s="51">
        <v>0</v>
      </c>
      <c r="W41" s="4">
        <f t="shared" si="0"/>
        <v>0</v>
      </c>
      <c r="X41" s="4">
        <f t="shared" si="1"/>
        <v>0</v>
      </c>
      <c r="Y41" s="4">
        <f t="shared" si="2"/>
        <v>0</v>
      </c>
      <c r="Z41" s="4">
        <f t="shared" si="3"/>
        <v>0</v>
      </c>
      <c r="AA41" s="4">
        <f t="shared" si="4"/>
        <v>0</v>
      </c>
    </row>
    <row r="42" spans="1:28">
      <c r="A42" s="46">
        <v>42298</v>
      </c>
      <c r="B42" s="47">
        <v>0.39583333333333331</v>
      </c>
      <c r="C42" s="46">
        <v>42299</v>
      </c>
      <c r="D42" s="47">
        <v>0.41666666666666669</v>
      </c>
      <c r="E42" s="48">
        <v>24.5</v>
      </c>
      <c r="F42" s="49">
        <v>1.2</v>
      </c>
      <c r="G42" s="49">
        <v>1.8</v>
      </c>
      <c r="H42" s="4">
        <v>1911</v>
      </c>
      <c r="I42" s="4">
        <v>2313</v>
      </c>
      <c r="J42" s="48">
        <f t="shared" si="5"/>
        <v>47.958333333333336</v>
      </c>
      <c r="K42" s="4">
        <v>5630</v>
      </c>
      <c r="L42" s="4">
        <v>63</v>
      </c>
      <c r="M42" s="50">
        <v>5</v>
      </c>
      <c r="P42" s="4">
        <v>0</v>
      </c>
      <c r="Q42" s="4">
        <v>0</v>
      </c>
      <c r="R42" s="4">
        <v>0</v>
      </c>
      <c r="S42" s="4">
        <v>0</v>
      </c>
      <c r="T42" s="51">
        <v>0</v>
      </c>
      <c r="U42" s="51">
        <v>0</v>
      </c>
      <c r="V42" s="51">
        <v>0</v>
      </c>
      <c r="W42" s="4">
        <f t="shared" si="0"/>
        <v>0</v>
      </c>
      <c r="X42" s="4">
        <f t="shared" si="1"/>
        <v>0</v>
      </c>
      <c r="Y42" s="4">
        <f t="shared" si="2"/>
        <v>0</v>
      </c>
      <c r="Z42" s="4">
        <f t="shared" si="3"/>
        <v>0</v>
      </c>
      <c r="AA42" s="4">
        <f t="shared" si="4"/>
        <v>0</v>
      </c>
    </row>
    <row r="43" spans="1:28">
      <c r="A43" s="46">
        <v>42299</v>
      </c>
      <c r="B43" s="47">
        <v>0.41666666666666669</v>
      </c>
      <c r="C43" s="46">
        <v>42300</v>
      </c>
      <c r="D43" s="47">
        <v>0.39583333333333331</v>
      </c>
      <c r="E43" s="48">
        <v>23.5</v>
      </c>
      <c r="F43" s="49">
        <v>1</v>
      </c>
      <c r="G43" s="49">
        <v>1.9</v>
      </c>
      <c r="H43" s="4">
        <v>1509</v>
      </c>
      <c r="I43" s="4">
        <v>1765</v>
      </c>
      <c r="J43" s="48">
        <f t="shared" si="5"/>
        <v>40.632456140350875</v>
      </c>
      <c r="K43" s="4">
        <v>5340</v>
      </c>
      <c r="L43" s="4">
        <v>62</v>
      </c>
      <c r="M43" s="52" t="s">
        <v>35</v>
      </c>
      <c r="P43" s="4">
        <v>0</v>
      </c>
      <c r="Q43" s="4">
        <v>0</v>
      </c>
      <c r="R43" s="4">
        <v>0</v>
      </c>
      <c r="S43" s="4">
        <v>0</v>
      </c>
      <c r="T43" s="51">
        <v>0</v>
      </c>
      <c r="U43" s="51">
        <v>0</v>
      </c>
      <c r="V43" s="51">
        <v>0</v>
      </c>
      <c r="W43" s="4">
        <f t="shared" si="0"/>
        <v>0</v>
      </c>
      <c r="X43" s="4">
        <f t="shared" si="1"/>
        <v>0</v>
      </c>
      <c r="Y43" s="4">
        <f t="shared" si="2"/>
        <v>0</v>
      </c>
      <c r="Z43" s="4">
        <f t="shared" si="3"/>
        <v>0</v>
      </c>
      <c r="AA43" s="4">
        <f t="shared" si="4"/>
        <v>0</v>
      </c>
      <c r="AB43" s="4" t="s">
        <v>36</v>
      </c>
    </row>
    <row r="44" spans="1:28">
      <c r="A44" s="46">
        <v>42300</v>
      </c>
      <c r="B44" s="47">
        <v>0.39583333333333331</v>
      </c>
      <c r="C44" s="46">
        <v>42301</v>
      </c>
      <c r="D44" s="47">
        <v>0.4375</v>
      </c>
      <c r="E44" s="48">
        <v>25</v>
      </c>
      <c r="F44" s="49">
        <v>0.8</v>
      </c>
      <c r="G44" s="49">
        <v>1.4</v>
      </c>
      <c r="H44" s="4">
        <v>1128</v>
      </c>
      <c r="I44" s="4">
        <v>2314</v>
      </c>
      <c r="J44" s="48">
        <f t="shared" si="5"/>
        <v>51.047619047619051</v>
      </c>
      <c r="K44" s="4">
        <v>5140</v>
      </c>
      <c r="L44" s="4">
        <v>62</v>
      </c>
      <c r="M44" s="50">
        <v>6.36</v>
      </c>
      <c r="P44" s="4">
        <v>0</v>
      </c>
      <c r="Q44" s="4">
        <v>0</v>
      </c>
      <c r="R44" s="4">
        <v>0</v>
      </c>
      <c r="S44" s="4">
        <v>0</v>
      </c>
      <c r="T44" s="51">
        <v>0</v>
      </c>
      <c r="U44" s="51">
        <v>0</v>
      </c>
      <c r="V44" s="51">
        <v>0</v>
      </c>
      <c r="W44" s="4">
        <f t="shared" si="0"/>
        <v>0</v>
      </c>
      <c r="X44" s="4">
        <f t="shared" si="1"/>
        <v>0</v>
      </c>
      <c r="Y44" s="4">
        <f t="shared" si="2"/>
        <v>0</v>
      </c>
      <c r="Z44" s="4">
        <f t="shared" si="3"/>
        <v>0</v>
      </c>
      <c r="AA44" s="4">
        <f t="shared" si="4"/>
        <v>0</v>
      </c>
    </row>
    <row r="45" spans="1:28">
      <c r="A45" s="46">
        <v>42301</v>
      </c>
      <c r="B45" s="47">
        <v>0.4375</v>
      </c>
      <c r="C45" s="46">
        <v>42302</v>
      </c>
      <c r="D45" s="47">
        <v>0.41666666666666669</v>
      </c>
      <c r="E45" s="48">
        <v>23.5</v>
      </c>
      <c r="F45" s="49">
        <v>1</v>
      </c>
      <c r="G45" s="49">
        <v>1.4</v>
      </c>
      <c r="H45" s="4">
        <v>1373</v>
      </c>
      <c r="I45" s="4">
        <v>2018</v>
      </c>
      <c r="J45" s="48">
        <f t="shared" si="5"/>
        <v>46.907142857142858</v>
      </c>
      <c r="K45" s="4">
        <v>4950</v>
      </c>
      <c r="L45" s="4">
        <v>63</v>
      </c>
      <c r="M45" s="50">
        <v>4.3499999999999996</v>
      </c>
      <c r="P45" s="4">
        <v>0</v>
      </c>
      <c r="Q45" s="4">
        <v>0</v>
      </c>
      <c r="R45" s="4">
        <v>0</v>
      </c>
      <c r="S45" s="4">
        <v>0</v>
      </c>
      <c r="T45" s="51">
        <v>0</v>
      </c>
      <c r="U45" s="51">
        <v>0</v>
      </c>
      <c r="V45" s="51">
        <v>0</v>
      </c>
      <c r="W45" s="4">
        <f t="shared" si="0"/>
        <v>0</v>
      </c>
      <c r="X45" s="4">
        <f t="shared" si="1"/>
        <v>0</v>
      </c>
      <c r="Y45" s="4">
        <f t="shared" si="2"/>
        <v>0</v>
      </c>
      <c r="Z45" s="4">
        <f t="shared" si="3"/>
        <v>0</v>
      </c>
      <c r="AA45" s="4">
        <f t="shared" si="4"/>
        <v>0</v>
      </c>
    </row>
    <row r="46" spans="1:28">
      <c r="A46" s="46">
        <v>42302</v>
      </c>
      <c r="B46" s="47">
        <v>0.41666666666666669</v>
      </c>
      <c r="C46" s="46">
        <v>42303</v>
      </c>
      <c r="D46" s="47">
        <v>0.4375</v>
      </c>
      <c r="E46" s="48">
        <v>24.5</v>
      </c>
      <c r="F46" s="49">
        <v>1.1000000000000001</v>
      </c>
      <c r="G46" s="49">
        <v>1.9</v>
      </c>
      <c r="H46" s="4">
        <v>970</v>
      </c>
      <c r="I46" s="4">
        <v>1039</v>
      </c>
      <c r="J46" s="48">
        <f t="shared" si="5"/>
        <v>23.811004784688993</v>
      </c>
      <c r="K46" s="4">
        <v>4830</v>
      </c>
      <c r="L46" s="4">
        <v>61</v>
      </c>
      <c r="M46" s="50">
        <v>5.4</v>
      </c>
      <c r="P46" s="4">
        <v>0</v>
      </c>
      <c r="Q46" s="4">
        <v>0</v>
      </c>
      <c r="R46" s="4">
        <v>0</v>
      </c>
      <c r="S46" s="4">
        <v>0</v>
      </c>
      <c r="T46" s="51">
        <v>0</v>
      </c>
      <c r="U46" s="51">
        <v>0</v>
      </c>
      <c r="V46" s="51">
        <v>0</v>
      </c>
      <c r="W46" s="4">
        <f t="shared" si="0"/>
        <v>0</v>
      </c>
      <c r="X46" s="4">
        <f t="shared" si="1"/>
        <v>0</v>
      </c>
      <c r="Y46" s="4">
        <f t="shared" si="2"/>
        <v>0</v>
      </c>
      <c r="Z46" s="4">
        <f t="shared" si="3"/>
        <v>0</v>
      </c>
      <c r="AA46" s="4">
        <f t="shared" si="4"/>
        <v>0</v>
      </c>
    </row>
    <row r="47" spans="1:28">
      <c r="A47" s="46">
        <v>42303</v>
      </c>
      <c r="B47" s="47">
        <v>0.4375</v>
      </c>
      <c r="C47" s="46">
        <v>42304</v>
      </c>
      <c r="D47" s="47">
        <v>0.39583333333333331</v>
      </c>
      <c r="E47" s="48">
        <v>23</v>
      </c>
      <c r="F47" s="49">
        <v>1</v>
      </c>
      <c r="G47" s="49">
        <v>1.4</v>
      </c>
      <c r="H47" s="4">
        <v>1345</v>
      </c>
      <c r="I47" s="4">
        <v>2178</v>
      </c>
      <c r="J47" s="48">
        <f t="shared" si="5"/>
        <v>48.345238095238095</v>
      </c>
      <c r="K47" s="4">
        <v>4860</v>
      </c>
      <c r="L47" s="4">
        <v>61</v>
      </c>
      <c r="M47" s="50">
        <v>7.5</v>
      </c>
      <c r="P47" s="4">
        <v>0</v>
      </c>
      <c r="Q47" s="4">
        <v>0</v>
      </c>
      <c r="R47" s="4">
        <v>0</v>
      </c>
      <c r="S47" s="4">
        <v>0</v>
      </c>
      <c r="T47" s="51">
        <v>0</v>
      </c>
      <c r="U47" s="51">
        <v>0</v>
      </c>
      <c r="V47" s="51">
        <v>0</v>
      </c>
      <c r="W47" s="4">
        <f t="shared" si="0"/>
        <v>0</v>
      </c>
      <c r="X47" s="4">
        <f t="shared" si="1"/>
        <v>0</v>
      </c>
      <c r="Y47" s="4">
        <f t="shared" si="2"/>
        <v>0</v>
      </c>
      <c r="Z47" s="4">
        <f t="shared" si="3"/>
        <v>0</v>
      </c>
      <c r="AA47" s="4">
        <f t="shared" si="4"/>
        <v>0</v>
      </c>
    </row>
    <row r="48" spans="1:28">
      <c r="A48" s="46">
        <v>42304</v>
      </c>
      <c r="B48" s="47">
        <v>0.39583333333333331</v>
      </c>
      <c r="C48" s="46">
        <v>42305</v>
      </c>
      <c r="D48" s="47">
        <v>0.39583333333333331</v>
      </c>
      <c r="E48" s="48">
        <v>24</v>
      </c>
      <c r="F48" s="49">
        <v>0.9</v>
      </c>
      <c r="G48" s="49">
        <v>1.7</v>
      </c>
      <c r="H48" s="4">
        <v>1237</v>
      </c>
      <c r="I48" s="4">
        <v>2292</v>
      </c>
      <c r="J48" s="48">
        <f t="shared" si="5"/>
        <v>45.377995642701521</v>
      </c>
      <c r="K48" s="4">
        <v>4750</v>
      </c>
      <c r="L48" s="4">
        <v>61</v>
      </c>
      <c r="M48" s="50">
        <v>3.5</v>
      </c>
      <c r="P48" s="4">
        <v>0</v>
      </c>
      <c r="Q48" s="4">
        <v>0</v>
      </c>
      <c r="R48" s="4">
        <v>0</v>
      </c>
      <c r="S48" s="4">
        <v>0</v>
      </c>
      <c r="T48" s="51">
        <v>0</v>
      </c>
      <c r="U48" s="51">
        <v>0</v>
      </c>
      <c r="V48" s="51">
        <v>0</v>
      </c>
      <c r="W48" s="4">
        <f t="shared" si="0"/>
        <v>0</v>
      </c>
      <c r="X48" s="4">
        <f t="shared" si="1"/>
        <v>0</v>
      </c>
      <c r="Y48" s="4">
        <f t="shared" si="2"/>
        <v>0</v>
      </c>
      <c r="Z48" s="4">
        <f t="shared" si="3"/>
        <v>0</v>
      </c>
      <c r="AA48" s="4">
        <f t="shared" si="4"/>
        <v>0</v>
      </c>
    </row>
    <row r="49" spans="1:27">
      <c r="A49" s="46">
        <v>42305</v>
      </c>
      <c r="B49" s="47">
        <v>0.39583333333333331</v>
      </c>
      <c r="C49" s="46">
        <v>42306</v>
      </c>
      <c r="D49" s="47">
        <v>0.375</v>
      </c>
      <c r="E49" s="48">
        <v>23.5</v>
      </c>
      <c r="F49" s="49">
        <v>1.1000000000000001</v>
      </c>
      <c r="G49" s="49">
        <v>1.7</v>
      </c>
      <c r="H49" s="4">
        <v>218</v>
      </c>
      <c r="I49" s="4">
        <v>2135</v>
      </c>
      <c r="J49" s="48">
        <f t="shared" si="5"/>
        <v>24.234402852049914</v>
      </c>
      <c r="K49" s="4">
        <v>4710</v>
      </c>
      <c r="L49" s="4">
        <v>62</v>
      </c>
      <c r="M49" s="50">
        <v>5</v>
      </c>
      <c r="P49" s="4">
        <v>0</v>
      </c>
      <c r="Q49" s="4">
        <v>0</v>
      </c>
      <c r="R49" s="4">
        <v>0</v>
      </c>
      <c r="S49" s="4">
        <v>0</v>
      </c>
      <c r="T49" s="51">
        <v>0</v>
      </c>
      <c r="U49" s="51">
        <v>0</v>
      </c>
      <c r="V49" s="51">
        <v>0</v>
      </c>
      <c r="W49" s="4">
        <f t="shared" si="0"/>
        <v>0</v>
      </c>
      <c r="X49" s="4">
        <f t="shared" si="1"/>
        <v>0</v>
      </c>
      <c r="Y49" s="4">
        <f t="shared" si="2"/>
        <v>0</v>
      </c>
      <c r="Z49" s="4">
        <f t="shared" si="3"/>
        <v>0</v>
      </c>
      <c r="AA49" s="4">
        <f t="shared" si="4"/>
        <v>0</v>
      </c>
    </row>
    <row r="50" spans="1:27">
      <c r="A50" s="46">
        <v>42306</v>
      </c>
      <c r="B50" s="47">
        <v>0.375</v>
      </c>
      <c r="C50" s="46">
        <v>42307</v>
      </c>
      <c r="D50" s="47">
        <v>0.39583333333333331</v>
      </c>
      <c r="E50" s="48">
        <v>24.5</v>
      </c>
      <c r="F50" s="49">
        <v>1.5</v>
      </c>
      <c r="G50" s="49">
        <v>1.5</v>
      </c>
      <c r="H50" s="4">
        <v>2120</v>
      </c>
      <c r="I50" s="4">
        <v>2166</v>
      </c>
      <c r="J50" s="48">
        <f t="shared" si="5"/>
        <v>47.62222222222222</v>
      </c>
      <c r="K50" s="4">
        <v>4730</v>
      </c>
      <c r="L50" s="4">
        <v>60</v>
      </c>
      <c r="M50" s="50">
        <v>4.46</v>
      </c>
      <c r="P50" s="4">
        <v>0</v>
      </c>
      <c r="Q50" s="4">
        <v>0</v>
      </c>
      <c r="R50" s="4">
        <v>0</v>
      </c>
      <c r="S50" s="4">
        <v>0</v>
      </c>
      <c r="T50" s="51">
        <v>0</v>
      </c>
      <c r="U50" s="51">
        <v>0</v>
      </c>
      <c r="V50" s="51">
        <v>0</v>
      </c>
      <c r="W50" s="4">
        <f t="shared" si="0"/>
        <v>0</v>
      </c>
      <c r="X50" s="4">
        <f t="shared" si="1"/>
        <v>0</v>
      </c>
      <c r="Y50" s="4">
        <f t="shared" si="2"/>
        <v>0</v>
      </c>
      <c r="Z50" s="4">
        <f t="shared" si="3"/>
        <v>0</v>
      </c>
      <c r="AA50" s="4">
        <f t="shared" si="4"/>
        <v>0</v>
      </c>
    </row>
    <row r="51" spans="1:27">
      <c r="A51" s="46">
        <v>42307</v>
      </c>
      <c r="B51" s="47">
        <v>0.39583333333333331</v>
      </c>
      <c r="C51" s="46">
        <v>42308</v>
      </c>
      <c r="D51" s="47">
        <v>0.54166666666666663</v>
      </c>
      <c r="E51" s="48">
        <v>27.5</v>
      </c>
      <c r="F51" s="49">
        <v>1.5</v>
      </c>
      <c r="G51" s="49">
        <v>1.6</v>
      </c>
      <c r="H51" s="4">
        <v>2413</v>
      </c>
      <c r="I51" s="4">
        <v>2432</v>
      </c>
      <c r="J51" s="48">
        <f t="shared" si="5"/>
        <v>52.144444444444453</v>
      </c>
      <c r="K51" s="4">
        <v>4870</v>
      </c>
      <c r="L51" s="4">
        <v>61</v>
      </c>
      <c r="M51" s="50">
        <v>3.17</v>
      </c>
      <c r="P51" s="4">
        <v>0</v>
      </c>
      <c r="Q51" s="4">
        <v>0</v>
      </c>
      <c r="R51" s="4">
        <v>0</v>
      </c>
      <c r="S51" s="4">
        <v>0</v>
      </c>
      <c r="T51" s="51">
        <v>0</v>
      </c>
      <c r="U51" s="51">
        <v>0</v>
      </c>
      <c r="V51" s="51">
        <v>0</v>
      </c>
      <c r="W51" s="4">
        <f t="shared" si="0"/>
        <v>0</v>
      </c>
      <c r="X51" s="4">
        <f t="shared" si="1"/>
        <v>0</v>
      </c>
      <c r="Y51" s="4">
        <f t="shared" si="2"/>
        <v>0</v>
      </c>
      <c r="Z51" s="4">
        <f t="shared" si="3"/>
        <v>0</v>
      </c>
      <c r="AA51" s="4">
        <f t="shared" si="4"/>
        <v>0</v>
      </c>
    </row>
    <row r="52" spans="1:27">
      <c r="A52" s="46">
        <v>42308</v>
      </c>
      <c r="B52" s="47">
        <v>0.54166666666666663</v>
      </c>
      <c r="C52" s="46">
        <v>42309</v>
      </c>
      <c r="D52" s="47">
        <v>0.5625</v>
      </c>
      <c r="E52" s="48">
        <v>24.5</v>
      </c>
      <c r="F52" s="49">
        <v>1.4</v>
      </c>
      <c r="G52" s="49">
        <v>1.8</v>
      </c>
      <c r="H52" s="4">
        <v>860</v>
      </c>
      <c r="I52" s="4">
        <v>292</v>
      </c>
      <c r="J52" s="48">
        <f t="shared" si="5"/>
        <v>12.941798941798943</v>
      </c>
      <c r="K52" s="4">
        <v>4570</v>
      </c>
      <c r="L52" s="4">
        <v>61</v>
      </c>
      <c r="M52" s="50">
        <v>3.4</v>
      </c>
      <c r="P52" s="4">
        <v>0</v>
      </c>
      <c r="Q52" s="4">
        <v>0</v>
      </c>
      <c r="R52" s="4">
        <v>0</v>
      </c>
      <c r="S52" s="4">
        <v>0</v>
      </c>
      <c r="T52" s="51">
        <v>0</v>
      </c>
      <c r="U52" s="51">
        <v>0</v>
      </c>
      <c r="V52" s="51">
        <v>0</v>
      </c>
      <c r="W52" s="4">
        <f t="shared" si="0"/>
        <v>0</v>
      </c>
      <c r="X52" s="4">
        <f t="shared" si="1"/>
        <v>0</v>
      </c>
      <c r="Y52" s="4">
        <f t="shared" si="2"/>
        <v>0</v>
      </c>
      <c r="Z52" s="4">
        <f t="shared" si="3"/>
        <v>0</v>
      </c>
      <c r="AA52" s="4">
        <f t="shared" si="4"/>
        <v>0</v>
      </c>
    </row>
    <row r="53" spans="1:27">
      <c r="A53" s="46">
        <v>42309</v>
      </c>
      <c r="B53" s="47">
        <v>0.5625</v>
      </c>
      <c r="C53" s="46">
        <v>42310</v>
      </c>
      <c r="D53" s="47">
        <v>0.39583333333333331</v>
      </c>
      <c r="E53" s="48">
        <v>20</v>
      </c>
      <c r="F53" s="49">
        <v>1.3</v>
      </c>
      <c r="G53" s="49">
        <v>1.6</v>
      </c>
      <c r="H53" s="4">
        <v>1627</v>
      </c>
      <c r="I53" s="4">
        <v>2035</v>
      </c>
      <c r="J53" s="48">
        <f t="shared" si="5"/>
        <v>42.056891025641022</v>
      </c>
      <c r="K53" s="4">
        <v>4540</v>
      </c>
      <c r="L53" s="4">
        <v>61</v>
      </c>
      <c r="M53" s="50">
        <v>4.83</v>
      </c>
      <c r="P53" s="4">
        <v>0</v>
      </c>
      <c r="Q53" s="4">
        <v>0</v>
      </c>
      <c r="R53" s="4">
        <v>0</v>
      </c>
      <c r="S53" s="4">
        <v>0</v>
      </c>
      <c r="T53" s="51">
        <v>0</v>
      </c>
      <c r="U53" s="51">
        <v>0</v>
      </c>
      <c r="V53" s="51">
        <v>0</v>
      </c>
      <c r="W53" s="4">
        <f t="shared" si="0"/>
        <v>0</v>
      </c>
      <c r="X53" s="4">
        <f t="shared" si="1"/>
        <v>0</v>
      </c>
      <c r="Y53" s="4">
        <f t="shared" si="2"/>
        <v>0</v>
      </c>
      <c r="Z53" s="4">
        <f t="shared" si="3"/>
        <v>0</v>
      </c>
      <c r="AA53" s="4">
        <f t="shared" si="4"/>
        <v>0</v>
      </c>
    </row>
    <row r="54" spans="1:27">
      <c r="A54" s="46">
        <v>42310</v>
      </c>
      <c r="B54" s="47">
        <v>0.39583333333333331</v>
      </c>
      <c r="C54" s="46">
        <v>42311</v>
      </c>
      <c r="D54" s="47">
        <v>0.4375</v>
      </c>
      <c r="E54" s="48">
        <v>25</v>
      </c>
      <c r="F54" s="49">
        <v>1.3</v>
      </c>
      <c r="G54" s="49">
        <v>1.7</v>
      </c>
      <c r="H54" s="4">
        <v>1766</v>
      </c>
      <c r="I54" s="4">
        <v>2360</v>
      </c>
      <c r="J54" s="48">
        <f t="shared" si="5"/>
        <v>45.778280542986423</v>
      </c>
      <c r="K54" s="4">
        <v>4470</v>
      </c>
      <c r="L54" s="4">
        <v>60</v>
      </c>
      <c r="M54" s="50">
        <v>5.48</v>
      </c>
      <c r="P54" s="4">
        <v>0</v>
      </c>
      <c r="Q54" s="4">
        <v>0</v>
      </c>
      <c r="R54" s="4">
        <v>0</v>
      </c>
      <c r="S54" s="4">
        <v>0</v>
      </c>
      <c r="T54" s="51">
        <v>0</v>
      </c>
      <c r="U54" s="51">
        <v>0</v>
      </c>
      <c r="V54" s="51">
        <v>0</v>
      </c>
      <c r="W54" s="4">
        <f t="shared" si="0"/>
        <v>0</v>
      </c>
      <c r="X54" s="4">
        <f t="shared" si="1"/>
        <v>0</v>
      </c>
      <c r="Y54" s="4">
        <f t="shared" si="2"/>
        <v>0</v>
      </c>
      <c r="Z54" s="4">
        <f t="shared" si="3"/>
        <v>0</v>
      </c>
      <c r="AA54" s="4">
        <f t="shared" si="4"/>
        <v>0</v>
      </c>
    </row>
    <row r="55" spans="1:27">
      <c r="A55" s="46">
        <v>42311</v>
      </c>
      <c r="B55" s="47">
        <v>0.4375</v>
      </c>
      <c r="C55" s="46">
        <v>42312</v>
      </c>
      <c r="D55" s="47">
        <v>0.39583333333333331</v>
      </c>
      <c r="E55" s="48">
        <v>23</v>
      </c>
      <c r="F55" s="49">
        <v>1.2</v>
      </c>
      <c r="G55" s="49">
        <v>1.6</v>
      </c>
      <c r="H55" s="4">
        <v>1544</v>
      </c>
      <c r="I55" s="4">
        <v>2076</v>
      </c>
      <c r="J55" s="48">
        <f t="shared" si="5"/>
        <v>43.06944444444445</v>
      </c>
      <c r="K55" s="4">
        <v>4330</v>
      </c>
      <c r="L55" s="4">
        <v>58</v>
      </c>
      <c r="M55" s="50">
        <v>3.75</v>
      </c>
      <c r="P55" s="4">
        <v>0</v>
      </c>
      <c r="Q55" s="4">
        <v>0</v>
      </c>
      <c r="R55" s="4">
        <v>0</v>
      </c>
      <c r="S55" s="4">
        <v>0</v>
      </c>
      <c r="T55" s="51">
        <v>0</v>
      </c>
      <c r="U55" s="51">
        <v>0</v>
      </c>
      <c r="V55" s="51">
        <v>0</v>
      </c>
      <c r="W55" s="4">
        <f t="shared" si="0"/>
        <v>0</v>
      </c>
      <c r="X55" s="4">
        <f t="shared" si="1"/>
        <v>0</v>
      </c>
      <c r="Y55" s="4">
        <f t="shared" si="2"/>
        <v>0</v>
      </c>
      <c r="Z55" s="4">
        <f t="shared" si="3"/>
        <v>0</v>
      </c>
      <c r="AA55" s="4">
        <f t="shared" si="4"/>
        <v>0</v>
      </c>
    </row>
    <row r="56" spans="1:27">
      <c r="A56" s="46">
        <v>42312</v>
      </c>
      <c r="B56" s="47">
        <v>0.39583333333333331</v>
      </c>
      <c r="C56" s="46">
        <v>42313</v>
      </c>
      <c r="D56" s="47">
        <v>0.53125</v>
      </c>
      <c r="E56" s="48">
        <v>27.25</v>
      </c>
      <c r="F56" s="49">
        <v>1.1000000000000001</v>
      </c>
      <c r="G56" s="49">
        <v>1.6</v>
      </c>
      <c r="H56" s="4">
        <v>1719</v>
      </c>
      <c r="I56" s="4">
        <v>2341</v>
      </c>
      <c r="J56" s="48">
        <f t="shared" si="5"/>
        <v>50.430871212121211</v>
      </c>
      <c r="K56" s="4">
        <v>4120</v>
      </c>
      <c r="L56" s="4">
        <v>58</v>
      </c>
      <c r="M56" s="50">
        <v>2.85</v>
      </c>
      <c r="P56" s="4">
        <v>0</v>
      </c>
      <c r="Q56" s="4">
        <v>0</v>
      </c>
      <c r="R56" s="4">
        <v>0</v>
      </c>
      <c r="S56" s="4">
        <v>0</v>
      </c>
      <c r="T56" s="51">
        <v>0</v>
      </c>
      <c r="U56" s="51">
        <v>0</v>
      </c>
      <c r="V56" s="51">
        <v>0</v>
      </c>
      <c r="W56" s="4">
        <f t="shared" si="0"/>
        <v>0</v>
      </c>
      <c r="X56" s="4">
        <f t="shared" si="1"/>
        <v>0</v>
      </c>
      <c r="Y56" s="4">
        <f t="shared" si="2"/>
        <v>0</v>
      </c>
      <c r="Z56" s="4">
        <f t="shared" si="3"/>
        <v>0</v>
      </c>
      <c r="AA56" s="4">
        <f t="shared" si="4"/>
        <v>0</v>
      </c>
    </row>
    <row r="57" spans="1:27">
      <c r="A57" s="46">
        <v>42313</v>
      </c>
      <c r="B57" s="47">
        <v>0.53125</v>
      </c>
      <c r="C57" s="46">
        <v>42314</v>
      </c>
      <c r="D57" s="47">
        <v>0.38541666666666669</v>
      </c>
      <c r="E57" s="48">
        <v>20.5</v>
      </c>
      <c r="F57" s="49">
        <v>1.1000000000000001</v>
      </c>
      <c r="G57" s="49">
        <v>1.7</v>
      </c>
      <c r="H57" s="4">
        <v>1196</v>
      </c>
      <c r="I57" s="4">
        <v>1668</v>
      </c>
      <c r="J57" s="48">
        <f t="shared" si="5"/>
        <v>34.474153297682712</v>
      </c>
      <c r="K57" s="4">
        <v>4060</v>
      </c>
      <c r="L57" s="4">
        <v>56</v>
      </c>
      <c r="M57" s="50">
        <v>5.35</v>
      </c>
      <c r="P57" s="4">
        <v>0</v>
      </c>
      <c r="Q57" s="4">
        <v>0</v>
      </c>
      <c r="R57" s="4">
        <v>0</v>
      </c>
      <c r="S57" s="4">
        <v>0</v>
      </c>
      <c r="T57" s="51">
        <v>0</v>
      </c>
      <c r="U57" s="51">
        <v>0</v>
      </c>
      <c r="V57" s="51">
        <v>0</v>
      </c>
      <c r="W57" s="4">
        <f t="shared" si="0"/>
        <v>0</v>
      </c>
      <c r="X57" s="4">
        <f t="shared" si="1"/>
        <v>0</v>
      </c>
      <c r="Y57" s="4">
        <f t="shared" si="2"/>
        <v>0</v>
      </c>
      <c r="Z57" s="4">
        <f t="shared" si="3"/>
        <v>0</v>
      </c>
      <c r="AA57" s="4">
        <f t="shared" si="4"/>
        <v>0</v>
      </c>
    </row>
    <row r="58" spans="1:27">
      <c r="A58" s="46">
        <v>42314</v>
      </c>
      <c r="B58" s="47">
        <v>0.38541666666666669</v>
      </c>
      <c r="C58" s="46">
        <v>42315</v>
      </c>
      <c r="D58" s="47">
        <v>0.4375</v>
      </c>
      <c r="E58" s="48">
        <v>25.25</v>
      </c>
      <c r="F58" s="49">
        <v>1</v>
      </c>
      <c r="G58" s="49">
        <v>1.6</v>
      </c>
      <c r="H58" s="4">
        <v>1550</v>
      </c>
      <c r="I58" s="4">
        <v>2109</v>
      </c>
      <c r="J58" s="48">
        <f t="shared" si="5"/>
        <v>47.802083333333336</v>
      </c>
      <c r="K58" s="4">
        <v>4150</v>
      </c>
      <c r="L58" s="4">
        <v>55</v>
      </c>
      <c r="M58" s="50">
        <v>5.15</v>
      </c>
      <c r="P58" s="4">
        <v>0</v>
      </c>
      <c r="Q58" s="4">
        <v>0</v>
      </c>
      <c r="R58" s="4">
        <v>0</v>
      </c>
      <c r="S58" s="4">
        <v>0</v>
      </c>
      <c r="T58" s="51">
        <v>0</v>
      </c>
      <c r="U58" s="51">
        <v>0</v>
      </c>
      <c r="V58" s="51">
        <v>0</v>
      </c>
      <c r="W58" s="4">
        <f t="shared" si="0"/>
        <v>0</v>
      </c>
      <c r="X58" s="4">
        <f t="shared" si="1"/>
        <v>0</v>
      </c>
      <c r="Y58" s="4">
        <f t="shared" si="2"/>
        <v>0</v>
      </c>
      <c r="Z58" s="4">
        <f t="shared" si="3"/>
        <v>0</v>
      </c>
      <c r="AA58" s="4">
        <f t="shared" si="4"/>
        <v>0</v>
      </c>
    </row>
    <row r="59" spans="1:27">
      <c r="A59" s="46">
        <v>42315</v>
      </c>
      <c r="B59" s="47">
        <v>0.4375</v>
      </c>
      <c r="C59" s="46">
        <v>42316</v>
      </c>
      <c r="D59" s="47">
        <v>0.4375</v>
      </c>
      <c r="E59" s="48">
        <v>24</v>
      </c>
      <c r="F59" s="49">
        <v>1.2</v>
      </c>
      <c r="G59" s="49">
        <v>1.5</v>
      </c>
      <c r="H59" s="4">
        <v>1478</v>
      </c>
      <c r="I59" s="4">
        <v>1949</v>
      </c>
      <c r="J59" s="48">
        <f t="shared" si="5"/>
        <v>42.18333333333333</v>
      </c>
      <c r="K59" s="4">
        <v>4220</v>
      </c>
      <c r="L59" s="4">
        <v>54</v>
      </c>
      <c r="M59" s="50">
        <v>3.66</v>
      </c>
      <c r="P59" s="4">
        <v>0</v>
      </c>
      <c r="Q59" s="4">
        <v>0</v>
      </c>
      <c r="R59" s="4">
        <v>0</v>
      </c>
      <c r="S59" s="4">
        <v>0</v>
      </c>
      <c r="T59" s="51">
        <v>0</v>
      </c>
      <c r="U59" s="51">
        <v>0</v>
      </c>
      <c r="V59" s="51">
        <v>0</v>
      </c>
      <c r="W59" s="4">
        <f t="shared" si="0"/>
        <v>0</v>
      </c>
      <c r="X59" s="4">
        <f t="shared" si="1"/>
        <v>0</v>
      </c>
      <c r="Y59" s="4">
        <f t="shared" si="2"/>
        <v>0</v>
      </c>
      <c r="Z59" s="4">
        <f t="shared" si="3"/>
        <v>0</v>
      </c>
      <c r="AA59" s="4">
        <f t="shared" si="4"/>
        <v>0</v>
      </c>
    </row>
    <row r="60" spans="1:27">
      <c r="A60" s="46">
        <v>42316</v>
      </c>
      <c r="B60" s="47">
        <v>0.4375</v>
      </c>
      <c r="C60" s="46">
        <v>42317</v>
      </c>
      <c r="D60" s="47">
        <v>0.41666666666666669</v>
      </c>
      <c r="E60" s="48">
        <v>23.5</v>
      </c>
      <c r="F60" s="49">
        <v>1.3</v>
      </c>
      <c r="G60" s="49">
        <v>1.5</v>
      </c>
      <c r="H60" s="4">
        <v>1570</v>
      </c>
      <c r="I60" s="4">
        <v>2012</v>
      </c>
      <c r="J60" s="48">
        <f t="shared" si="5"/>
        <v>42.483760683760678</v>
      </c>
      <c r="K60" s="4">
        <v>4220</v>
      </c>
      <c r="L60" s="4">
        <v>54</v>
      </c>
      <c r="M60" s="50">
        <v>3.71</v>
      </c>
      <c r="P60" s="4">
        <v>0</v>
      </c>
      <c r="Q60" s="4">
        <v>0</v>
      </c>
      <c r="R60" s="4">
        <v>0</v>
      </c>
      <c r="S60" s="4">
        <v>0</v>
      </c>
      <c r="T60" s="51">
        <v>0</v>
      </c>
      <c r="U60" s="51">
        <v>0</v>
      </c>
      <c r="V60" s="51">
        <v>0</v>
      </c>
      <c r="W60" s="4">
        <f t="shared" si="0"/>
        <v>0</v>
      </c>
      <c r="X60" s="4">
        <f t="shared" si="1"/>
        <v>0</v>
      </c>
      <c r="Y60" s="4">
        <f t="shared" si="2"/>
        <v>0</v>
      </c>
      <c r="Z60" s="4">
        <f t="shared" si="3"/>
        <v>0</v>
      </c>
      <c r="AA60" s="4">
        <f t="shared" si="4"/>
        <v>0</v>
      </c>
    </row>
    <row r="61" spans="1:27">
      <c r="A61" s="46">
        <v>42317</v>
      </c>
      <c r="B61" s="47">
        <v>0.41666666666666669</v>
      </c>
      <c r="C61" s="46">
        <v>42318</v>
      </c>
      <c r="D61" s="47">
        <v>0.3888888888888889</v>
      </c>
      <c r="E61" s="48">
        <v>23.5</v>
      </c>
      <c r="F61" s="49">
        <v>1.2</v>
      </c>
      <c r="G61" s="49">
        <v>1.5</v>
      </c>
      <c r="H61" s="4">
        <v>1595</v>
      </c>
      <c r="I61" s="4">
        <v>2105</v>
      </c>
      <c r="J61" s="48">
        <f t="shared" si="5"/>
        <v>45.541666666666664</v>
      </c>
      <c r="K61" s="4">
        <v>4340</v>
      </c>
      <c r="L61" s="4">
        <v>54</v>
      </c>
      <c r="M61" s="50">
        <v>3.23</v>
      </c>
      <c r="P61" s="4">
        <v>0</v>
      </c>
      <c r="Q61" s="4">
        <v>0</v>
      </c>
      <c r="R61" s="4">
        <v>0</v>
      </c>
      <c r="S61" s="4">
        <v>0</v>
      </c>
      <c r="T61" s="51">
        <v>0</v>
      </c>
      <c r="U61" s="51">
        <v>0</v>
      </c>
      <c r="V61" s="51">
        <v>0</v>
      </c>
      <c r="W61" s="4">
        <f t="shared" si="0"/>
        <v>0</v>
      </c>
      <c r="X61" s="4">
        <f t="shared" si="1"/>
        <v>0</v>
      </c>
      <c r="Y61" s="4">
        <f t="shared" si="2"/>
        <v>0</v>
      </c>
      <c r="Z61" s="4">
        <f t="shared" si="3"/>
        <v>0</v>
      </c>
      <c r="AA61" s="4">
        <f t="shared" si="4"/>
        <v>0</v>
      </c>
    </row>
    <row r="62" spans="1:27">
      <c r="A62" s="46">
        <v>42318</v>
      </c>
      <c r="B62" s="47">
        <v>0.3888888888888889</v>
      </c>
      <c r="C62" s="46">
        <v>42319</v>
      </c>
      <c r="D62" s="47">
        <v>0.42708333333333331</v>
      </c>
      <c r="E62" s="48">
        <v>24.75</v>
      </c>
      <c r="F62" s="49">
        <v>1.1000000000000001</v>
      </c>
      <c r="G62" s="49">
        <v>1.5</v>
      </c>
      <c r="H62" s="4">
        <v>1570</v>
      </c>
      <c r="I62" s="4">
        <v>2110</v>
      </c>
      <c r="J62" s="48">
        <f t="shared" si="5"/>
        <v>47.232323232323232</v>
      </c>
      <c r="K62" s="4">
        <v>4450</v>
      </c>
      <c r="L62" s="4">
        <v>54</v>
      </c>
      <c r="M62" s="50">
        <v>5.2</v>
      </c>
      <c r="P62" s="4">
        <v>0</v>
      </c>
      <c r="Q62" s="4">
        <v>0</v>
      </c>
      <c r="R62" s="4">
        <v>0</v>
      </c>
      <c r="S62" s="4">
        <v>0</v>
      </c>
      <c r="T62" s="51">
        <v>0</v>
      </c>
      <c r="U62" s="51">
        <v>0</v>
      </c>
      <c r="V62" s="51">
        <v>0</v>
      </c>
      <c r="W62" s="4">
        <f t="shared" si="0"/>
        <v>0</v>
      </c>
      <c r="X62" s="4">
        <f t="shared" si="1"/>
        <v>0</v>
      </c>
      <c r="Y62" s="4">
        <f t="shared" si="2"/>
        <v>0</v>
      </c>
      <c r="Z62" s="4">
        <f t="shared" si="3"/>
        <v>0</v>
      </c>
      <c r="AA62" s="4">
        <f t="shared" si="4"/>
        <v>0</v>
      </c>
    </row>
    <row r="63" spans="1:27">
      <c r="A63" s="46">
        <v>42319</v>
      </c>
      <c r="B63" s="47">
        <v>0.42708333333333331</v>
      </c>
      <c r="C63" s="46">
        <v>42320</v>
      </c>
      <c r="D63" s="47">
        <v>0.39583333333333331</v>
      </c>
      <c r="E63" s="48">
        <v>23.25</v>
      </c>
      <c r="F63" s="49">
        <v>1.2</v>
      </c>
      <c r="G63" s="49">
        <v>1.5</v>
      </c>
      <c r="H63" s="4">
        <v>1081</v>
      </c>
      <c r="I63" s="4">
        <v>1905</v>
      </c>
      <c r="J63" s="48">
        <f t="shared" si="5"/>
        <v>36.180555555555557</v>
      </c>
      <c r="K63" s="4">
        <v>4490</v>
      </c>
      <c r="L63" s="4">
        <v>53</v>
      </c>
      <c r="M63" s="50">
        <v>3.6</v>
      </c>
      <c r="P63" s="4">
        <v>0</v>
      </c>
      <c r="Q63" s="4">
        <v>0</v>
      </c>
      <c r="R63" s="4">
        <v>0</v>
      </c>
      <c r="S63" s="4">
        <v>0</v>
      </c>
      <c r="T63" s="51">
        <v>0</v>
      </c>
      <c r="U63" s="51">
        <v>0</v>
      </c>
      <c r="V63" s="51">
        <v>0</v>
      </c>
      <c r="W63" s="4">
        <f t="shared" si="0"/>
        <v>0</v>
      </c>
      <c r="X63" s="4">
        <f t="shared" si="1"/>
        <v>0</v>
      </c>
      <c r="Y63" s="4">
        <f t="shared" si="2"/>
        <v>0</v>
      </c>
      <c r="Z63" s="4">
        <f t="shared" si="3"/>
        <v>0</v>
      </c>
      <c r="AA63" s="4">
        <f t="shared" si="4"/>
        <v>0</v>
      </c>
    </row>
    <row r="64" spans="1:27">
      <c r="A64" s="46">
        <v>42320</v>
      </c>
      <c r="B64" s="47">
        <v>0.39583333333333331</v>
      </c>
      <c r="C64" s="46">
        <v>42321</v>
      </c>
      <c r="D64" s="47">
        <v>0.375</v>
      </c>
      <c r="E64" s="48">
        <v>23.5</v>
      </c>
      <c r="F64" s="49">
        <v>1.1000000000000001</v>
      </c>
      <c r="G64" s="49">
        <v>1.3</v>
      </c>
      <c r="H64" s="4">
        <v>1438</v>
      </c>
      <c r="I64" s="4">
        <v>1796</v>
      </c>
      <c r="J64" s="48">
        <f t="shared" si="5"/>
        <v>44.813519813519818</v>
      </c>
      <c r="K64" s="4">
        <v>4450</v>
      </c>
      <c r="L64" s="4">
        <v>53</v>
      </c>
      <c r="M64" s="50">
        <v>4.4400000000000004</v>
      </c>
      <c r="P64" s="4">
        <v>0</v>
      </c>
      <c r="Q64" s="4">
        <v>0</v>
      </c>
      <c r="R64" s="4">
        <v>0</v>
      </c>
      <c r="S64" s="4">
        <v>0</v>
      </c>
      <c r="T64" s="51">
        <v>0</v>
      </c>
      <c r="U64" s="51">
        <v>0</v>
      </c>
      <c r="V64" s="51">
        <v>0</v>
      </c>
      <c r="W64" s="4">
        <f t="shared" si="0"/>
        <v>0</v>
      </c>
      <c r="X64" s="4">
        <f t="shared" si="1"/>
        <v>0</v>
      </c>
      <c r="Y64" s="4">
        <f t="shared" si="2"/>
        <v>0</v>
      </c>
      <c r="Z64" s="4">
        <f t="shared" si="3"/>
        <v>0</v>
      </c>
      <c r="AA64" s="4">
        <f t="shared" si="4"/>
        <v>0</v>
      </c>
    </row>
    <row r="65" spans="1:27">
      <c r="A65" s="46">
        <v>42321</v>
      </c>
      <c r="B65" s="47">
        <v>0.375</v>
      </c>
      <c r="C65" s="46">
        <v>42322</v>
      </c>
      <c r="D65" s="47">
        <v>0.41666666666666669</v>
      </c>
      <c r="E65" s="48">
        <v>25</v>
      </c>
      <c r="F65" s="49">
        <v>1</v>
      </c>
      <c r="G65" s="49">
        <v>1.3</v>
      </c>
      <c r="H65" s="4">
        <v>1475</v>
      </c>
      <c r="I65" s="4">
        <v>1911</v>
      </c>
      <c r="J65" s="48">
        <f t="shared" si="5"/>
        <v>49.083333333333336</v>
      </c>
      <c r="K65" s="4">
        <v>4330</v>
      </c>
      <c r="L65" s="4">
        <v>54</v>
      </c>
      <c r="M65" s="50">
        <v>4.5</v>
      </c>
      <c r="P65" s="4">
        <v>0</v>
      </c>
      <c r="Q65" s="4">
        <v>0</v>
      </c>
      <c r="R65" s="4">
        <v>0</v>
      </c>
      <c r="S65" s="4">
        <v>0</v>
      </c>
      <c r="T65" s="51">
        <v>0</v>
      </c>
      <c r="U65" s="51">
        <v>0</v>
      </c>
      <c r="V65" s="51">
        <v>0</v>
      </c>
      <c r="W65" s="4">
        <f t="shared" si="0"/>
        <v>0</v>
      </c>
      <c r="X65" s="4">
        <f t="shared" si="1"/>
        <v>0</v>
      </c>
      <c r="Y65" s="4">
        <f t="shared" si="2"/>
        <v>0</v>
      </c>
      <c r="Z65" s="4">
        <f t="shared" si="3"/>
        <v>0</v>
      </c>
      <c r="AA65" s="4">
        <f t="shared" si="4"/>
        <v>0</v>
      </c>
    </row>
    <row r="66" spans="1:27">
      <c r="A66" s="46">
        <v>42322</v>
      </c>
      <c r="B66" s="47">
        <v>0.41666666666666669</v>
      </c>
      <c r="C66" s="46">
        <v>42323</v>
      </c>
      <c r="D66" s="47">
        <v>0.46875</v>
      </c>
      <c r="E66" s="48">
        <v>25.25</v>
      </c>
      <c r="F66" s="49">
        <v>1</v>
      </c>
      <c r="G66" s="49">
        <v>1.3</v>
      </c>
      <c r="H66" s="4">
        <v>879</v>
      </c>
      <c r="I66" s="4">
        <v>1901</v>
      </c>
      <c r="J66" s="48">
        <f t="shared" si="5"/>
        <v>39.021794871794874</v>
      </c>
      <c r="K66" s="4">
        <v>4220</v>
      </c>
      <c r="L66" s="4">
        <v>54</v>
      </c>
      <c r="M66" s="50">
        <v>3.3</v>
      </c>
      <c r="P66" s="4">
        <v>0</v>
      </c>
      <c r="Q66" s="4">
        <v>0</v>
      </c>
      <c r="R66" s="4">
        <v>0</v>
      </c>
      <c r="S66" s="4">
        <v>0</v>
      </c>
      <c r="T66" s="51">
        <v>0</v>
      </c>
      <c r="U66" s="51">
        <v>0</v>
      </c>
      <c r="V66" s="51">
        <v>0</v>
      </c>
      <c r="W66" s="4">
        <f t="shared" si="0"/>
        <v>0</v>
      </c>
      <c r="X66" s="4">
        <f t="shared" si="1"/>
        <v>0</v>
      </c>
      <c r="Y66" s="4">
        <f t="shared" si="2"/>
        <v>0</v>
      </c>
      <c r="Z66" s="4">
        <f t="shared" si="3"/>
        <v>0</v>
      </c>
      <c r="AA66" s="4">
        <f t="shared" si="4"/>
        <v>0</v>
      </c>
    </row>
    <row r="67" spans="1:27">
      <c r="A67" s="46">
        <v>42323</v>
      </c>
      <c r="B67" s="47">
        <v>0.46875</v>
      </c>
      <c r="C67" s="46">
        <v>42324</v>
      </c>
      <c r="D67" s="47">
        <v>0.45833333333333331</v>
      </c>
      <c r="E67" s="48">
        <v>23.75</v>
      </c>
      <c r="F67" s="49">
        <v>1.2</v>
      </c>
      <c r="G67" s="49">
        <v>1.5</v>
      </c>
      <c r="H67" s="4">
        <v>1528</v>
      </c>
      <c r="I67" s="4">
        <v>1939</v>
      </c>
      <c r="J67" s="48">
        <f t="shared" si="5"/>
        <v>42.766666666666666</v>
      </c>
      <c r="K67" s="4">
        <v>4210</v>
      </c>
      <c r="L67" s="4">
        <v>53</v>
      </c>
      <c r="M67" s="50">
        <v>3.37</v>
      </c>
      <c r="P67" s="4">
        <v>0</v>
      </c>
      <c r="Q67" s="4">
        <v>0</v>
      </c>
      <c r="R67" s="4">
        <v>0</v>
      </c>
      <c r="S67" s="4">
        <v>0</v>
      </c>
      <c r="T67" s="51">
        <v>0</v>
      </c>
      <c r="U67" s="51">
        <v>0</v>
      </c>
      <c r="V67" s="51">
        <v>0</v>
      </c>
      <c r="W67" s="4">
        <f t="shared" si="0"/>
        <v>0</v>
      </c>
      <c r="X67" s="4">
        <f t="shared" si="1"/>
        <v>0</v>
      </c>
      <c r="Y67" s="4">
        <f t="shared" si="2"/>
        <v>0</v>
      </c>
      <c r="Z67" s="4">
        <f t="shared" si="3"/>
        <v>0</v>
      </c>
      <c r="AA67" s="4">
        <f t="shared" si="4"/>
        <v>0</v>
      </c>
    </row>
    <row r="68" spans="1:27">
      <c r="A68" s="46">
        <v>42324</v>
      </c>
      <c r="B68" s="47">
        <v>0.45833333333333331</v>
      </c>
      <c r="C68" s="46">
        <v>42325</v>
      </c>
      <c r="D68" s="47">
        <v>0.38541666666666669</v>
      </c>
      <c r="E68" s="48">
        <v>22.25</v>
      </c>
      <c r="F68" s="49">
        <v>1.1000000000000001</v>
      </c>
      <c r="G68" s="49">
        <v>1.4</v>
      </c>
      <c r="H68" s="4">
        <v>1393</v>
      </c>
      <c r="I68" s="4">
        <v>1887</v>
      </c>
      <c r="J68" s="48">
        <f t="shared" si="5"/>
        <v>43.570346320346317</v>
      </c>
      <c r="K68" s="4">
        <v>4230</v>
      </c>
      <c r="L68" s="4">
        <v>53</v>
      </c>
      <c r="M68" s="50">
        <v>3.5</v>
      </c>
      <c r="P68" s="4">
        <v>0</v>
      </c>
      <c r="Q68" s="4">
        <v>0</v>
      </c>
      <c r="R68" s="4">
        <v>0</v>
      </c>
      <c r="S68" s="4">
        <v>0</v>
      </c>
      <c r="T68" s="51">
        <v>0</v>
      </c>
      <c r="U68" s="51">
        <v>0</v>
      </c>
      <c r="V68" s="51">
        <v>0</v>
      </c>
      <c r="W68" s="4">
        <f t="shared" si="0"/>
        <v>0</v>
      </c>
      <c r="X68" s="4">
        <f t="shared" si="1"/>
        <v>0</v>
      </c>
      <c r="Y68" s="4">
        <f t="shared" si="2"/>
        <v>0</v>
      </c>
      <c r="Z68" s="4">
        <f t="shared" si="3"/>
        <v>0</v>
      </c>
      <c r="AA68" s="4">
        <f t="shared" si="4"/>
        <v>0</v>
      </c>
    </row>
    <row r="69" spans="1:27">
      <c r="A69" s="46">
        <v>42325</v>
      </c>
      <c r="B69" s="47">
        <v>0.38541666666666669</v>
      </c>
      <c r="C69" s="46">
        <v>42326</v>
      </c>
      <c r="D69" s="47">
        <v>0.375</v>
      </c>
      <c r="E69" s="48">
        <v>23.75</v>
      </c>
      <c r="F69" s="49">
        <v>1</v>
      </c>
      <c r="G69" s="49">
        <v>1.3</v>
      </c>
      <c r="H69" s="4">
        <v>1410</v>
      </c>
      <c r="I69" s="4">
        <v>1914</v>
      </c>
      <c r="J69" s="48">
        <f t="shared" si="5"/>
        <v>48.03846153846154</v>
      </c>
      <c r="K69" s="4">
        <v>4160</v>
      </c>
      <c r="L69" s="4">
        <v>52</v>
      </c>
      <c r="M69" s="50">
        <v>3.33</v>
      </c>
      <c r="P69" s="4">
        <v>0</v>
      </c>
      <c r="Q69" s="4">
        <v>0</v>
      </c>
      <c r="R69" s="4">
        <v>0</v>
      </c>
      <c r="S69" s="4">
        <v>0</v>
      </c>
      <c r="T69" s="51">
        <v>0</v>
      </c>
      <c r="U69" s="51">
        <v>0</v>
      </c>
      <c r="V69" s="51">
        <v>0</v>
      </c>
      <c r="W69" s="4">
        <f t="shared" si="0"/>
        <v>0</v>
      </c>
      <c r="X69" s="4">
        <f t="shared" si="1"/>
        <v>0</v>
      </c>
      <c r="Y69" s="4">
        <f t="shared" si="2"/>
        <v>0</v>
      </c>
      <c r="Z69" s="4">
        <f t="shared" si="3"/>
        <v>0</v>
      </c>
      <c r="AA69" s="4">
        <f t="shared" si="4"/>
        <v>0</v>
      </c>
    </row>
    <row r="70" spans="1:27">
      <c r="A70" s="46">
        <v>42326</v>
      </c>
      <c r="B70" s="47">
        <v>0.375</v>
      </c>
      <c r="C70" s="46">
        <v>42327</v>
      </c>
      <c r="D70" s="47">
        <v>0.375</v>
      </c>
      <c r="E70" s="48">
        <v>24</v>
      </c>
      <c r="F70" s="49">
        <v>0.7</v>
      </c>
      <c r="G70" s="49">
        <v>1.3</v>
      </c>
      <c r="H70" s="4">
        <v>1362</v>
      </c>
      <c r="I70" s="4">
        <v>1931</v>
      </c>
      <c r="J70" s="48">
        <f t="shared" si="5"/>
        <v>57.184981684981686</v>
      </c>
      <c r="K70" s="4">
        <v>3990</v>
      </c>
      <c r="L70" s="4">
        <v>52</v>
      </c>
      <c r="M70" s="50">
        <v>3.11</v>
      </c>
      <c r="P70" s="4">
        <v>0</v>
      </c>
      <c r="Q70" s="4">
        <v>0</v>
      </c>
      <c r="R70" s="4">
        <v>0</v>
      </c>
      <c r="S70" s="4">
        <v>0</v>
      </c>
      <c r="T70" s="51">
        <v>0</v>
      </c>
      <c r="U70" s="51">
        <v>0</v>
      </c>
      <c r="V70" s="51">
        <v>0</v>
      </c>
      <c r="W70" s="4">
        <f t="shared" si="0"/>
        <v>0</v>
      </c>
      <c r="X70" s="4">
        <f t="shared" si="1"/>
        <v>0</v>
      </c>
      <c r="Y70" s="4">
        <f t="shared" si="2"/>
        <v>0</v>
      </c>
      <c r="Z70" s="4">
        <f t="shared" si="3"/>
        <v>0</v>
      </c>
      <c r="AA70" s="4">
        <f t="shared" si="4"/>
        <v>0</v>
      </c>
    </row>
    <row r="71" spans="1:27">
      <c r="A71" s="46">
        <v>42327</v>
      </c>
      <c r="B71" s="47">
        <v>0.375</v>
      </c>
      <c r="C71" s="46">
        <v>42328</v>
      </c>
      <c r="D71" s="47">
        <v>0.375</v>
      </c>
      <c r="E71" s="48">
        <v>24</v>
      </c>
      <c r="F71" s="49">
        <v>0.8</v>
      </c>
      <c r="G71" s="49">
        <v>1.3</v>
      </c>
      <c r="H71" s="4">
        <v>1261</v>
      </c>
      <c r="I71" s="4">
        <v>1772</v>
      </c>
      <c r="J71" s="48">
        <f t="shared" si="5"/>
        <v>48.988782051282051</v>
      </c>
      <c r="K71" s="4">
        <v>3950</v>
      </c>
      <c r="L71" s="4">
        <v>53</v>
      </c>
      <c r="M71" s="50">
        <v>4.74</v>
      </c>
      <c r="P71" s="4">
        <v>0</v>
      </c>
      <c r="Q71" s="4">
        <v>0</v>
      </c>
      <c r="R71" s="4">
        <v>0</v>
      </c>
      <c r="S71" s="4">
        <v>0</v>
      </c>
      <c r="T71" s="51">
        <v>0</v>
      </c>
      <c r="U71" s="51">
        <v>0</v>
      </c>
      <c r="V71" s="51">
        <v>0</v>
      </c>
      <c r="W71" s="4">
        <f t="shared" ref="W71:W134" si="6">P71/J71</f>
        <v>0</v>
      </c>
      <c r="X71" s="4">
        <f t="shared" ref="X71:X134" si="7">Q71/J71</f>
        <v>0</v>
      </c>
      <c r="Y71" s="4">
        <f t="shared" ref="Y71:Y134" si="8">R71/J71</f>
        <v>0</v>
      </c>
      <c r="Z71" s="4">
        <f t="shared" ref="Z71:Z134" si="9">S71/J71</f>
        <v>0</v>
      </c>
      <c r="AA71" s="4">
        <f t="shared" ref="AA71:AA134" si="10">U71/J71</f>
        <v>0</v>
      </c>
    </row>
    <row r="72" spans="1:27">
      <c r="A72" s="46">
        <v>42328</v>
      </c>
      <c r="B72" s="47">
        <v>0.375</v>
      </c>
      <c r="C72" s="46">
        <v>42329</v>
      </c>
      <c r="D72" s="47">
        <v>0.42708333333333331</v>
      </c>
      <c r="E72" s="48">
        <v>25.25</v>
      </c>
      <c r="F72" s="49">
        <v>1</v>
      </c>
      <c r="G72" s="49">
        <v>1.3</v>
      </c>
      <c r="H72" s="4">
        <v>1439</v>
      </c>
      <c r="I72" s="4">
        <v>1990</v>
      </c>
      <c r="J72" s="48">
        <f t="shared" si="5"/>
        <v>49.496153846153838</v>
      </c>
      <c r="K72" s="4">
        <v>3900</v>
      </c>
      <c r="L72" s="4">
        <v>54</v>
      </c>
      <c r="M72" s="50">
        <v>4.25</v>
      </c>
      <c r="P72" s="4">
        <v>0</v>
      </c>
      <c r="Q72" s="4">
        <v>0</v>
      </c>
      <c r="R72" s="4">
        <v>0</v>
      </c>
      <c r="S72" s="4">
        <v>0</v>
      </c>
      <c r="T72" s="51">
        <v>0</v>
      </c>
      <c r="U72" s="51">
        <v>0</v>
      </c>
      <c r="V72" s="51">
        <v>0</v>
      </c>
      <c r="W72" s="4">
        <f t="shared" si="6"/>
        <v>0</v>
      </c>
      <c r="X72" s="4">
        <f t="shared" si="7"/>
        <v>0</v>
      </c>
      <c r="Y72" s="4">
        <f t="shared" si="8"/>
        <v>0</v>
      </c>
      <c r="Z72" s="4">
        <f t="shared" si="9"/>
        <v>0</v>
      </c>
      <c r="AA72" s="4">
        <f t="shared" si="10"/>
        <v>0</v>
      </c>
    </row>
    <row r="73" spans="1:27">
      <c r="A73" s="46">
        <v>42329</v>
      </c>
      <c r="B73" s="47">
        <v>0.42708333333333331</v>
      </c>
      <c r="C73" s="46">
        <v>42330</v>
      </c>
      <c r="D73" s="47">
        <v>0.54166666666666663</v>
      </c>
      <c r="E73" s="48">
        <v>26.75</v>
      </c>
      <c r="F73" s="49">
        <v>1.1000000000000001</v>
      </c>
      <c r="G73" s="49">
        <v>1.5</v>
      </c>
      <c r="H73" s="4">
        <v>1532</v>
      </c>
      <c r="I73" s="4">
        <v>2103</v>
      </c>
      <c r="J73" s="48">
        <f t="shared" si="5"/>
        <v>46.578787878787878</v>
      </c>
      <c r="K73" s="4">
        <v>3950</v>
      </c>
      <c r="L73" s="4">
        <v>55</v>
      </c>
      <c r="M73" s="50">
        <v>3.9</v>
      </c>
      <c r="P73" s="4">
        <v>0</v>
      </c>
      <c r="Q73" s="4">
        <v>0</v>
      </c>
      <c r="R73" s="4">
        <v>0</v>
      </c>
      <c r="S73" s="4">
        <v>0</v>
      </c>
      <c r="T73" s="51">
        <v>0</v>
      </c>
      <c r="U73" s="51">
        <v>0</v>
      </c>
      <c r="V73" s="51">
        <v>0</v>
      </c>
      <c r="W73" s="4">
        <f t="shared" si="6"/>
        <v>0</v>
      </c>
      <c r="X73" s="4">
        <f t="shared" si="7"/>
        <v>0</v>
      </c>
      <c r="Y73" s="4">
        <f t="shared" si="8"/>
        <v>0</v>
      </c>
      <c r="Z73" s="4">
        <f t="shared" si="9"/>
        <v>0</v>
      </c>
      <c r="AA73" s="4">
        <f t="shared" si="10"/>
        <v>0</v>
      </c>
    </row>
    <row r="74" spans="1:27">
      <c r="A74" s="46">
        <v>42330</v>
      </c>
      <c r="B74" s="47">
        <v>0.54166666666666663</v>
      </c>
      <c r="C74" s="46">
        <v>42331</v>
      </c>
      <c r="D74" s="47">
        <v>0.47916666666666669</v>
      </c>
      <c r="E74" s="48">
        <v>22.5</v>
      </c>
      <c r="F74" s="49">
        <v>0.9</v>
      </c>
      <c r="G74" s="49">
        <v>1.3</v>
      </c>
      <c r="H74" s="4">
        <v>1262</v>
      </c>
      <c r="I74" s="4">
        <v>1721</v>
      </c>
      <c r="J74" s="48">
        <f t="shared" si="5"/>
        <v>45.434472934472936</v>
      </c>
      <c r="K74" s="4">
        <v>3980</v>
      </c>
      <c r="L74" s="4">
        <v>56</v>
      </c>
      <c r="M74" s="50">
        <v>4.04</v>
      </c>
      <c r="P74" s="4">
        <v>0</v>
      </c>
      <c r="Q74" s="4">
        <v>0</v>
      </c>
      <c r="R74" s="4">
        <v>0</v>
      </c>
      <c r="S74" s="4">
        <v>0</v>
      </c>
      <c r="T74" s="51">
        <v>0</v>
      </c>
      <c r="U74" s="51">
        <v>0</v>
      </c>
      <c r="V74" s="51">
        <v>0</v>
      </c>
      <c r="W74" s="4">
        <f t="shared" si="6"/>
        <v>0</v>
      </c>
      <c r="X74" s="4">
        <f t="shared" si="7"/>
        <v>0</v>
      </c>
      <c r="Y74" s="4">
        <f t="shared" si="8"/>
        <v>0</v>
      </c>
      <c r="Z74" s="4">
        <f t="shared" si="9"/>
        <v>0</v>
      </c>
      <c r="AA74" s="4">
        <f t="shared" si="10"/>
        <v>0</v>
      </c>
    </row>
    <row r="75" spans="1:27">
      <c r="A75" s="46">
        <v>42331</v>
      </c>
      <c r="B75" s="47">
        <v>0.47916666666666669</v>
      </c>
      <c r="C75" s="46">
        <v>42332</v>
      </c>
      <c r="D75" s="47">
        <v>0.38541666666666669</v>
      </c>
      <c r="E75" s="48">
        <v>21.75</v>
      </c>
      <c r="F75" s="49">
        <v>0.9</v>
      </c>
      <c r="G75" s="49">
        <v>1</v>
      </c>
      <c r="H75" s="4">
        <v>1061</v>
      </c>
      <c r="I75" s="4">
        <v>1479</v>
      </c>
      <c r="J75" s="48">
        <f t="shared" si="5"/>
        <v>44.298148148148144</v>
      </c>
      <c r="K75" s="4">
        <v>3980</v>
      </c>
      <c r="L75" s="4">
        <v>55</v>
      </c>
      <c r="M75" s="50">
        <v>3.84</v>
      </c>
      <c r="P75" s="4">
        <v>0</v>
      </c>
      <c r="Q75" s="4">
        <v>0</v>
      </c>
      <c r="R75" s="4">
        <v>0</v>
      </c>
      <c r="S75" s="4">
        <v>0</v>
      </c>
      <c r="T75" s="51">
        <v>0</v>
      </c>
      <c r="U75" s="51">
        <v>0</v>
      </c>
      <c r="V75" s="51">
        <v>0</v>
      </c>
      <c r="W75" s="4">
        <f t="shared" si="6"/>
        <v>0</v>
      </c>
      <c r="X75" s="4">
        <f t="shared" si="7"/>
        <v>0</v>
      </c>
      <c r="Y75" s="4">
        <f t="shared" si="8"/>
        <v>0</v>
      </c>
      <c r="Z75" s="4">
        <f t="shared" si="9"/>
        <v>0</v>
      </c>
      <c r="AA75" s="4">
        <f t="shared" si="10"/>
        <v>0</v>
      </c>
    </row>
    <row r="76" spans="1:27">
      <c r="A76" s="46">
        <v>42332</v>
      </c>
      <c r="B76" s="47">
        <v>0.38541666666666669</v>
      </c>
      <c r="C76" s="46">
        <v>42333</v>
      </c>
      <c r="D76" s="47">
        <v>0.41666666666666669</v>
      </c>
      <c r="E76" s="48">
        <v>24.75</v>
      </c>
      <c r="F76" s="49">
        <v>0.9</v>
      </c>
      <c r="G76" s="49">
        <v>0.7</v>
      </c>
      <c r="H76" s="4">
        <v>259</v>
      </c>
      <c r="I76" s="4">
        <v>400</v>
      </c>
      <c r="J76" s="48">
        <f t="shared" si="5"/>
        <v>14.32010582010582</v>
      </c>
      <c r="K76" s="4">
        <v>4030</v>
      </c>
      <c r="L76" s="4">
        <v>54</v>
      </c>
      <c r="M76" s="50">
        <v>5.08</v>
      </c>
      <c r="P76" s="4">
        <v>0</v>
      </c>
      <c r="Q76" s="4">
        <v>0</v>
      </c>
      <c r="R76" s="4">
        <v>0</v>
      </c>
      <c r="S76" s="4">
        <v>0</v>
      </c>
      <c r="T76" s="51">
        <v>0</v>
      </c>
      <c r="U76" s="51">
        <v>0</v>
      </c>
      <c r="V76" s="51">
        <v>0</v>
      </c>
      <c r="W76" s="4">
        <f t="shared" si="6"/>
        <v>0</v>
      </c>
      <c r="X76" s="4">
        <f t="shared" si="7"/>
        <v>0</v>
      </c>
      <c r="Y76" s="4">
        <f t="shared" si="8"/>
        <v>0</v>
      </c>
      <c r="Z76" s="4">
        <f t="shared" si="9"/>
        <v>0</v>
      </c>
      <c r="AA76" s="4">
        <f t="shared" si="10"/>
        <v>0</v>
      </c>
    </row>
    <row r="77" spans="1:27">
      <c r="A77" s="46">
        <v>42333</v>
      </c>
      <c r="B77" s="47">
        <v>0.41666666666666669</v>
      </c>
      <c r="C77" s="46">
        <v>42334</v>
      </c>
      <c r="D77" s="47">
        <v>0.38541666666666669</v>
      </c>
      <c r="E77" s="48">
        <v>23.25</v>
      </c>
      <c r="F77" s="49">
        <v>1.1000000000000001</v>
      </c>
      <c r="G77" s="49">
        <v>1.5</v>
      </c>
      <c r="H77" s="4">
        <v>1658</v>
      </c>
      <c r="I77" s="4">
        <v>2353</v>
      </c>
      <c r="J77" s="48">
        <f t="shared" si="5"/>
        <v>51.265656565656563</v>
      </c>
      <c r="K77" s="4">
        <v>4060</v>
      </c>
      <c r="L77" s="4">
        <v>53</v>
      </c>
      <c r="M77" s="50">
        <v>3</v>
      </c>
      <c r="P77" s="4">
        <v>0</v>
      </c>
      <c r="Q77" s="4">
        <v>0</v>
      </c>
      <c r="R77" s="4">
        <v>0</v>
      </c>
      <c r="S77" s="4">
        <v>0</v>
      </c>
      <c r="T77" s="51">
        <v>0</v>
      </c>
      <c r="U77" s="51">
        <v>0</v>
      </c>
      <c r="V77" s="51">
        <v>0</v>
      </c>
      <c r="W77" s="4">
        <f t="shared" si="6"/>
        <v>0</v>
      </c>
      <c r="X77" s="4">
        <f t="shared" si="7"/>
        <v>0</v>
      </c>
      <c r="Y77" s="4">
        <f t="shared" si="8"/>
        <v>0</v>
      </c>
      <c r="Z77" s="4">
        <f t="shared" si="9"/>
        <v>0</v>
      </c>
      <c r="AA77" s="4">
        <f t="shared" si="10"/>
        <v>0</v>
      </c>
    </row>
    <row r="78" spans="1:27">
      <c r="A78" s="46">
        <v>42334</v>
      </c>
      <c r="B78" s="47">
        <v>0.38541666666666669</v>
      </c>
      <c r="C78" s="46">
        <v>42335</v>
      </c>
      <c r="D78" s="47">
        <v>0.32291666666666669</v>
      </c>
      <c r="E78" s="48">
        <v>22.5</v>
      </c>
      <c r="F78" s="49">
        <v>1.3</v>
      </c>
      <c r="G78" s="49">
        <v>1.6</v>
      </c>
      <c r="H78" s="4">
        <v>1622</v>
      </c>
      <c r="I78" s="4">
        <v>2186</v>
      </c>
      <c r="J78" s="48">
        <f t="shared" si="5"/>
        <v>43.565705128205124</v>
      </c>
      <c r="K78" s="4">
        <v>4100</v>
      </c>
      <c r="L78" s="4">
        <v>50</v>
      </c>
      <c r="M78" s="50">
        <v>4.1900000000000004</v>
      </c>
      <c r="P78" s="4">
        <v>0</v>
      </c>
      <c r="Q78" s="4">
        <v>0</v>
      </c>
      <c r="R78" s="4">
        <v>0</v>
      </c>
      <c r="S78" s="4">
        <v>0</v>
      </c>
      <c r="T78" s="51">
        <v>0</v>
      </c>
      <c r="U78" s="51">
        <v>0</v>
      </c>
      <c r="V78" s="51">
        <v>0</v>
      </c>
      <c r="W78" s="4">
        <f t="shared" si="6"/>
        <v>0</v>
      </c>
      <c r="X78" s="4">
        <f t="shared" si="7"/>
        <v>0</v>
      </c>
      <c r="Y78" s="4">
        <f t="shared" si="8"/>
        <v>0</v>
      </c>
      <c r="Z78" s="4">
        <f t="shared" si="9"/>
        <v>0</v>
      </c>
      <c r="AA78" s="4">
        <f t="shared" si="10"/>
        <v>0</v>
      </c>
    </row>
    <row r="79" spans="1:27">
      <c r="A79" s="46">
        <v>42335</v>
      </c>
      <c r="B79" s="47">
        <v>0.32291666666666669</v>
      </c>
      <c r="C79" s="46">
        <v>42336</v>
      </c>
      <c r="D79" s="47">
        <v>0.375</v>
      </c>
      <c r="E79" s="48">
        <v>25.25</v>
      </c>
      <c r="F79" s="49">
        <v>1.2</v>
      </c>
      <c r="G79" s="49">
        <v>1.6</v>
      </c>
      <c r="H79" s="4">
        <v>1770</v>
      </c>
      <c r="I79" s="4">
        <v>2450</v>
      </c>
      <c r="J79" s="48">
        <f t="shared" ref="J79:J110" si="11" xml:space="preserve"> (((H79/F79)+(I79/G79))/60)</f>
        <v>50.104166666666664</v>
      </c>
      <c r="K79" s="4">
        <v>4050</v>
      </c>
      <c r="L79" s="4">
        <v>48</v>
      </c>
      <c r="M79" s="50">
        <v>2.57</v>
      </c>
      <c r="P79" s="4">
        <v>0</v>
      </c>
      <c r="Q79" s="4">
        <v>0</v>
      </c>
      <c r="R79" s="4">
        <v>0</v>
      </c>
      <c r="S79" s="4">
        <v>0</v>
      </c>
      <c r="T79" s="51">
        <v>0</v>
      </c>
      <c r="U79" s="51">
        <v>0</v>
      </c>
      <c r="V79" s="51">
        <v>0</v>
      </c>
      <c r="W79" s="4">
        <f t="shared" si="6"/>
        <v>0</v>
      </c>
      <c r="X79" s="4">
        <f t="shared" si="7"/>
        <v>0</v>
      </c>
      <c r="Y79" s="4">
        <f t="shared" si="8"/>
        <v>0</v>
      </c>
      <c r="Z79" s="4">
        <f t="shared" si="9"/>
        <v>0</v>
      </c>
      <c r="AA79" s="4">
        <f t="shared" si="10"/>
        <v>0</v>
      </c>
    </row>
    <row r="80" spans="1:27">
      <c r="A80" s="46">
        <v>42336</v>
      </c>
      <c r="B80" s="47">
        <v>0.375</v>
      </c>
      <c r="C80" s="46">
        <v>42337</v>
      </c>
      <c r="D80" s="47">
        <v>0.42708333333333331</v>
      </c>
      <c r="E80" s="48">
        <v>25.25</v>
      </c>
      <c r="F80" s="49">
        <v>1.2</v>
      </c>
      <c r="G80" s="49">
        <v>1.5</v>
      </c>
      <c r="H80" s="4">
        <v>131</v>
      </c>
      <c r="I80" s="4">
        <v>2414</v>
      </c>
      <c r="J80" s="48">
        <f t="shared" si="11"/>
        <v>28.641666666666666</v>
      </c>
      <c r="K80" s="4">
        <v>4020</v>
      </c>
      <c r="L80" s="4">
        <v>47</v>
      </c>
      <c r="M80" s="50">
        <v>3.23</v>
      </c>
      <c r="P80" s="4">
        <v>0</v>
      </c>
      <c r="Q80" s="4">
        <v>0</v>
      </c>
      <c r="R80" s="4">
        <v>0</v>
      </c>
      <c r="S80" s="4">
        <v>0</v>
      </c>
      <c r="T80" s="51">
        <v>0</v>
      </c>
      <c r="U80" s="51">
        <v>0</v>
      </c>
      <c r="V80" s="51">
        <v>0</v>
      </c>
      <c r="W80" s="4">
        <f t="shared" si="6"/>
        <v>0</v>
      </c>
      <c r="X80" s="4">
        <f t="shared" si="7"/>
        <v>0</v>
      </c>
      <c r="Y80" s="4">
        <f t="shared" si="8"/>
        <v>0</v>
      </c>
      <c r="Z80" s="4">
        <f t="shared" si="9"/>
        <v>0</v>
      </c>
      <c r="AA80" s="4">
        <f t="shared" si="10"/>
        <v>0</v>
      </c>
    </row>
    <row r="81" spans="1:28">
      <c r="A81" s="46">
        <v>42337</v>
      </c>
      <c r="B81" s="47">
        <v>0.42708333333333331</v>
      </c>
      <c r="C81" s="46">
        <v>42338</v>
      </c>
      <c r="D81" s="47">
        <v>0.375</v>
      </c>
      <c r="E81" s="48">
        <v>22.75</v>
      </c>
      <c r="F81" s="49">
        <v>1</v>
      </c>
      <c r="G81" s="49">
        <v>1.4</v>
      </c>
      <c r="H81" s="4">
        <v>1768</v>
      </c>
      <c r="I81" s="4">
        <v>2162</v>
      </c>
      <c r="J81" s="48">
        <f t="shared" si="11"/>
        <v>55.204761904761909</v>
      </c>
      <c r="K81" s="4">
        <v>4060</v>
      </c>
      <c r="L81" s="4">
        <v>46</v>
      </c>
      <c r="M81" s="50">
        <v>2.85</v>
      </c>
      <c r="P81" s="4">
        <v>0</v>
      </c>
      <c r="Q81" s="4">
        <v>0</v>
      </c>
      <c r="R81" s="4">
        <v>0</v>
      </c>
      <c r="S81" s="4">
        <v>0</v>
      </c>
      <c r="T81" s="51">
        <v>0</v>
      </c>
      <c r="U81" s="51">
        <v>0</v>
      </c>
      <c r="V81" s="51">
        <v>0</v>
      </c>
      <c r="W81" s="4">
        <f t="shared" si="6"/>
        <v>0</v>
      </c>
      <c r="X81" s="4">
        <f t="shared" si="7"/>
        <v>0</v>
      </c>
      <c r="Y81" s="4">
        <f t="shared" si="8"/>
        <v>0</v>
      </c>
      <c r="Z81" s="4">
        <f t="shared" si="9"/>
        <v>0</v>
      </c>
      <c r="AA81" s="4">
        <f t="shared" si="10"/>
        <v>0</v>
      </c>
    </row>
    <row r="82" spans="1:28">
      <c r="A82" s="46">
        <v>42338</v>
      </c>
      <c r="B82" s="47">
        <v>0.375</v>
      </c>
      <c r="C82" s="46">
        <v>42339</v>
      </c>
      <c r="D82" s="47">
        <v>0.40625</v>
      </c>
      <c r="E82" s="48">
        <v>24.75</v>
      </c>
      <c r="F82" s="49">
        <v>1.2</v>
      </c>
      <c r="G82" s="49">
        <v>1.4</v>
      </c>
      <c r="H82" s="4">
        <v>1868</v>
      </c>
      <c r="I82" s="4">
        <v>2181</v>
      </c>
      <c r="J82" s="48">
        <f t="shared" si="11"/>
        <v>51.908730158730158</v>
      </c>
      <c r="K82" s="4">
        <v>4070</v>
      </c>
      <c r="L82" s="4">
        <v>46</v>
      </c>
      <c r="M82" s="50">
        <v>3.07</v>
      </c>
      <c r="P82" s="4">
        <v>0</v>
      </c>
      <c r="Q82" s="4">
        <v>0</v>
      </c>
      <c r="R82" s="4">
        <v>0</v>
      </c>
      <c r="S82" s="4">
        <v>0</v>
      </c>
      <c r="T82" s="51">
        <v>0</v>
      </c>
      <c r="U82" s="51">
        <v>0</v>
      </c>
      <c r="V82" s="51">
        <v>0</v>
      </c>
      <c r="W82" s="4">
        <f t="shared" si="6"/>
        <v>0</v>
      </c>
      <c r="X82" s="4">
        <f t="shared" si="7"/>
        <v>0</v>
      </c>
      <c r="Y82" s="4">
        <f t="shared" si="8"/>
        <v>0</v>
      </c>
      <c r="Z82" s="4">
        <f t="shared" si="9"/>
        <v>0</v>
      </c>
      <c r="AA82" s="4">
        <f t="shared" si="10"/>
        <v>0</v>
      </c>
    </row>
    <row r="83" spans="1:28">
      <c r="A83" s="46">
        <v>42339</v>
      </c>
      <c r="B83" s="47">
        <v>0.40625</v>
      </c>
      <c r="C83" s="46">
        <v>42340</v>
      </c>
      <c r="D83" s="47">
        <v>0.39583333333333331</v>
      </c>
      <c r="E83" s="48">
        <v>23.75</v>
      </c>
      <c r="F83" s="49">
        <v>1.4</v>
      </c>
      <c r="G83" s="49">
        <v>1.5</v>
      </c>
      <c r="H83" s="4">
        <v>384</v>
      </c>
      <c r="I83" s="4">
        <v>2172</v>
      </c>
      <c r="J83" s="48">
        <f t="shared" si="11"/>
        <v>28.704761904761902</v>
      </c>
      <c r="K83" s="4">
        <v>4060</v>
      </c>
      <c r="L83" s="4">
        <v>47</v>
      </c>
      <c r="M83" s="50">
        <v>3.68</v>
      </c>
      <c r="P83" s="4">
        <v>0</v>
      </c>
      <c r="Q83" s="4">
        <v>0</v>
      </c>
      <c r="R83" s="4">
        <v>0</v>
      </c>
      <c r="S83" s="4">
        <v>0</v>
      </c>
      <c r="T83" s="51">
        <v>0</v>
      </c>
      <c r="U83" s="51">
        <v>0</v>
      </c>
      <c r="V83" s="51">
        <v>0</v>
      </c>
      <c r="W83" s="4">
        <f t="shared" si="6"/>
        <v>0</v>
      </c>
      <c r="X83" s="4">
        <f t="shared" si="7"/>
        <v>0</v>
      </c>
      <c r="Y83" s="4">
        <f t="shared" si="8"/>
        <v>0</v>
      </c>
      <c r="Z83" s="4">
        <f t="shared" si="9"/>
        <v>0</v>
      </c>
      <c r="AA83" s="4">
        <f t="shared" si="10"/>
        <v>0</v>
      </c>
    </row>
    <row r="84" spans="1:28">
      <c r="A84" s="46">
        <v>42340</v>
      </c>
      <c r="B84" s="47">
        <v>0.39583333333333331</v>
      </c>
      <c r="C84" s="46">
        <v>42341</v>
      </c>
      <c r="D84" s="47">
        <v>0.39583333333333331</v>
      </c>
      <c r="E84" s="48">
        <v>24</v>
      </c>
      <c r="F84" s="49">
        <v>1.4</v>
      </c>
      <c r="G84" s="49">
        <v>1.5</v>
      </c>
      <c r="H84" s="4">
        <v>353</v>
      </c>
      <c r="I84" s="4">
        <v>381</v>
      </c>
      <c r="J84" s="48">
        <f t="shared" si="11"/>
        <v>8.4357142857142868</v>
      </c>
      <c r="K84" s="4">
        <v>4130</v>
      </c>
      <c r="L84" s="4">
        <v>44</v>
      </c>
      <c r="M84" s="50">
        <v>3.37</v>
      </c>
      <c r="P84" s="4">
        <v>0</v>
      </c>
      <c r="Q84" s="4">
        <v>0</v>
      </c>
      <c r="R84" s="4">
        <v>0</v>
      </c>
      <c r="S84" s="4">
        <v>0</v>
      </c>
      <c r="T84" s="51">
        <v>0</v>
      </c>
      <c r="U84" s="51">
        <v>0</v>
      </c>
      <c r="V84" s="51">
        <v>0</v>
      </c>
      <c r="W84" s="4">
        <f t="shared" si="6"/>
        <v>0</v>
      </c>
      <c r="X84" s="4">
        <f t="shared" si="7"/>
        <v>0</v>
      </c>
      <c r="Y84" s="4">
        <f t="shared" si="8"/>
        <v>0</v>
      </c>
      <c r="Z84" s="4">
        <f t="shared" si="9"/>
        <v>0</v>
      </c>
      <c r="AA84" s="4">
        <f t="shared" si="10"/>
        <v>0</v>
      </c>
    </row>
    <row r="85" spans="1:28">
      <c r="A85" s="46">
        <v>42341</v>
      </c>
      <c r="B85" s="47">
        <v>0.39583333333333331</v>
      </c>
      <c r="C85" s="46">
        <v>42342</v>
      </c>
      <c r="D85" s="47">
        <v>0.42708333333333331</v>
      </c>
      <c r="E85" s="48">
        <v>24.75</v>
      </c>
      <c r="F85" s="49">
        <v>1.4</v>
      </c>
      <c r="G85" s="49">
        <v>1.4</v>
      </c>
      <c r="H85" s="4">
        <v>501</v>
      </c>
      <c r="I85" s="4">
        <v>594</v>
      </c>
      <c r="J85" s="48">
        <f t="shared" si="11"/>
        <v>13.035714285714286</v>
      </c>
      <c r="K85" s="4">
        <v>4150</v>
      </c>
      <c r="L85" s="4">
        <v>48</v>
      </c>
      <c r="M85" s="50">
        <v>3.16</v>
      </c>
      <c r="P85" s="4">
        <v>0</v>
      </c>
      <c r="Q85" s="4">
        <v>0</v>
      </c>
      <c r="R85" s="4">
        <v>0</v>
      </c>
      <c r="S85" s="4">
        <v>0</v>
      </c>
      <c r="T85" s="51">
        <v>0</v>
      </c>
      <c r="U85" s="51">
        <v>0</v>
      </c>
      <c r="V85" s="51">
        <v>0</v>
      </c>
      <c r="W85" s="4">
        <f t="shared" si="6"/>
        <v>0</v>
      </c>
      <c r="X85" s="4">
        <f t="shared" si="7"/>
        <v>0</v>
      </c>
      <c r="Y85" s="4">
        <f t="shared" si="8"/>
        <v>0</v>
      </c>
      <c r="Z85" s="4">
        <f t="shared" si="9"/>
        <v>0</v>
      </c>
      <c r="AA85" s="4">
        <f t="shared" si="10"/>
        <v>0</v>
      </c>
    </row>
    <row r="86" spans="1:28">
      <c r="A86" s="46">
        <v>42342</v>
      </c>
      <c r="B86" s="47">
        <v>0.42708333333333331</v>
      </c>
      <c r="C86" s="46">
        <v>42343</v>
      </c>
      <c r="D86" s="47">
        <v>0.42708333333333331</v>
      </c>
      <c r="E86" s="48">
        <v>24</v>
      </c>
      <c r="F86" s="49">
        <v>1.6</v>
      </c>
      <c r="G86" s="49">
        <v>1.6</v>
      </c>
      <c r="H86" s="4">
        <v>914</v>
      </c>
      <c r="I86" s="4">
        <v>1760</v>
      </c>
      <c r="J86" s="48">
        <f t="shared" si="11"/>
        <v>27.854166666666668</v>
      </c>
      <c r="K86" s="4">
        <v>4390</v>
      </c>
      <c r="L86" s="4">
        <v>49</v>
      </c>
      <c r="M86" s="50">
        <v>5.13</v>
      </c>
      <c r="P86" s="4">
        <v>0</v>
      </c>
      <c r="Q86" s="4">
        <v>0</v>
      </c>
      <c r="R86" s="4">
        <v>0</v>
      </c>
      <c r="S86" s="4">
        <v>0</v>
      </c>
      <c r="T86" s="51">
        <v>0</v>
      </c>
      <c r="U86" s="51">
        <v>0</v>
      </c>
      <c r="V86" s="51">
        <v>0</v>
      </c>
      <c r="W86" s="4">
        <f t="shared" si="6"/>
        <v>0</v>
      </c>
      <c r="X86" s="4">
        <f t="shared" si="7"/>
        <v>0</v>
      </c>
      <c r="Y86" s="4">
        <f t="shared" si="8"/>
        <v>0</v>
      </c>
      <c r="Z86" s="4">
        <f t="shared" si="9"/>
        <v>0</v>
      </c>
      <c r="AA86" s="4">
        <f t="shared" si="10"/>
        <v>0</v>
      </c>
    </row>
    <row r="87" spans="1:28">
      <c r="A87" s="46">
        <v>42343</v>
      </c>
      <c r="B87" s="47">
        <v>0.42708333333333331</v>
      </c>
      <c r="C87" s="46">
        <v>42344</v>
      </c>
      <c r="D87" s="47">
        <v>0.52083333333333337</v>
      </c>
      <c r="E87" s="48">
        <v>26.25</v>
      </c>
      <c r="F87" s="49">
        <v>1.3</v>
      </c>
      <c r="G87" s="49">
        <v>1.5</v>
      </c>
      <c r="H87" s="4">
        <v>937</v>
      </c>
      <c r="I87" s="4">
        <v>1618</v>
      </c>
      <c r="J87" s="48">
        <f t="shared" si="11"/>
        <v>29.990598290598292</v>
      </c>
      <c r="K87" s="4">
        <v>4650</v>
      </c>
      <c r="L87" s="4">
        <v>50</v>
      </c>
      <c r="M87" s="50">
        <v>7.51</v>
      </c>
      <c r="P87" s="4">
        <v>0</v>
      </c>
      <c r="Q87" s="4">
        <v>0</v>
      </c>
      <c r="R87" s="4">
        <v>0</v>
      </c>
      <c r="S87" s="4">
        <v>0</v>
      </c>
      <c r="T87" s="51">
        <v>0</v>
      </c>
      <c r="U87" s="51">
        <v>0</v>
      </c>
      <c r="V87" s="51">
        <v>0</v>
      </c>
      <c r="W87" s="4">
        <f t="shared" si="6"/>
        <v>0</v>
      </c>
      <c r="X87" s="4">
        <f t="shared" si="7"/>
        <v>0</v>
      </c>
      <c r="Y87" s="4">
        <f t="shared" si="8"/>
        <v>0</v>
      </c>
      <c r="Z87" s="4">
        <f t="shared" si="9"/>
        <v>0</v>
      </c>
      <c r="AA87" s="4">
        <f t="shared" si="10"/>
        <v>0</v>
      </c>
    </row>
    <row r="88" spans="1:28">
      <c r="A88" s="46">
        <v>42344</v>
      </c>
      <c r="B88" s="47">
        <v>0.52083333333333337</v>
      </c>
      <c r="C88" s="46">
        <v>42345</v>
      </c>
      <c r="D88" s="47">
        <v>0.39583333333333331</v>
      </c>
      <c r="E88" s="48">
        <v>21</v>
      </c>
      <c r="F88" s="49">
        <v>1.5</v>
      </c>
      <c r="G88" s="49">
        <v>1.9</v>
      </c>
      <c r="H88" s="4">
        <v>1135</v>
      </c>
      <c r="I88" s="4">
        <v>3220</v>
      </c>
      <c r="J88" s="48">
        <f t="shared" si="11"/>
        <v>40.856725146198833</v>
      </c>
      <c r="K88" s="4">
        <v>4730</v>
      </c>
      <c r="L88" s="4">
        <v>51</v>
      </c>
      <c r="M88" s="50">
        <v>5.7</v>
      </c>
      <c r="P88" s="4">
        <v>0</v>
      </c>
      <c r="Q88" s="4">
        <v>0</v>
      </c>
      <c r="R88" s="4">
        <v>0</v>
      </c>
      <c r="S88" s="4">
        <v>0</v>
      </c>
      <c r="T88" s="51">
        <v>0</v>
      </c>
      <c r="U88" s="51">
        <v>0</v>
      </c>
      <c r="V88" s="51">
        <v>0</v>
      </c>
      <c r="W88" s="4">
        <f t="shared" si="6"/>
        <v>0</v>
      </c>
      <c r="X88" s="4">
        <f t="shared" si="7"/>
        <v>0</v>
      </c>
      <c r="Y88" s="4">
        <f t="shared" si="8"/>
        <v>0</v>
      </c>
      <c r="Z88" s="4">
        <f t="shared" si="9"/>
        <v>0</v>
      </c>
      <c r="AA88" s="4">
        <f t="shared" si="10"/>
        <v>0</v>
      </c>
    </row>
    <row r="89" spans="1:28">
      <c r="A89" s="46">
        <v>42345</v>
      </c>
      <c r="B89" s="47">
        <v>0.39583333333333331</v>
      </c>
      <c r="C89" s="46">
        <v>42346</v>
      </c>
      <c r="D89" s="47">
        <v>0.40625</v>
      </c>
      <c r="E89" s="48">
        <v>24.25</v>
      </c>
      <c r="F89" s="49">
        <v>1.4</v>
      </c>
      <c r="G89" s="49">
        <v>1.8</v>
      </c>
      <c r="H89" s="4">
        <v>1870</v>
      </c>
      <c r="I89" s="4">
        <v>2370</v>
      </c>
      <c r="J89" s="48">
        <f t="shared" si="11"/>
        <v>44.206349206349202</v>
      </c>
      <c r="K89" s="4">
        <v>4910</v>
      </c>
      <c r="L89" s="4">
        <v>53</v>
      </c>
      <c r="M89" s="50">
        <v>5.43</v>
      </c>
      <c r="P89" s="4">
        <v>0</v>
      </c>
      <c r="Q89" s="4">
        <v>0</v>
      </c>
      <c r="R89" s="4">
        <v>0</v>
      </c>
      <c r="S89" s="4">
        <v>0</v>
      </c>
      <c r="T89" s="51">
        <v>0</v>
      </c>
      <c r="U89" s="51">
        <v>0</v>
      </c>
      <c r="V89" s="51">
        <v>0</v>
      </c>
      <c r="W89" s="4">
        <f t="shared" si="6"/>
        <v>0</v>
      </c>
      <c r="X89" s="4">
        <f t="shared" si="7"/>
        <v>0</v>
      </c>
      <c r="Y89" s="4">
        <f t="shared" si="8"/>
        <v>0</v>
      </c>
      <c r="Z89" s="4">
        <f t="shared" si="9"/>
        <v>0</v>
      </c>
      <c r="AA89" s="4">
        <f t="shared" si="10"/>
        <v>0</v>
      </c>
    </row>
    <row r="90" spans="1:28">
      <c r="A90" s="46">
        <v>42346</v>
      </c>
      <c r="B90" s="47">
        <v>0.40625</v>
      </c>
      <c r="C90" s="46">
        <v>42347</v>
      </c>
      <c r="D90" s="47">
        <v>0.41666666666666669</v>
      </c>
      <c r="E90" s="48">
        <v>24.25</v>
      </c>
      <c r="F90" s="49">
        <v>1.4</v>
      </c>
      <c r="G90" s="49">
        <v>2</v>
      </c>
      <c r="H90" s="4">
        <v>1199</v>
      </c>
      <c r="I90" s="4">
        <v>559</v>
      </c>
      <c r="J90" s="48">
        <f t="shared" si="11"/>
        <v>18.93214285714286</v>
      </c>
      <c r="K90" s="4">
        <v>5040</v>
      </c>
      <c r="L90" s="4">
        <v>53</v>
      </c>
      <c r="M90" s="50">
        <v>4.67</v>
      </c>
      <c r="P90" s="4">
        <v>0</v>
      </c>
      <c r="Q90" s="4">
        <v>0</v>
      </c>
      <c r="R90" s="4">
        <v>0</v>
      </c>
      <c r="S90" s="4">
        <v>0</v>
      </c>
      <c r="T90" s="51">
        <v>0</v>
      </c>
      <c r="U90" s="51">
        <v>0</v>
      </c>
      <c r="V90" s="51">
        <v>0</v>
      </c>
      <c r="W90" s="4">
        <f t="shared" si="6"/>
        <v>0</v>
      </c>
      <c r="X90" s="4">
        <f t="shared" si="7"/>
        <v>0</v>
      </c>
      <c r="Y90" s="4">
        <f t="shared" si="8"/>
        <v>0</v>
      </c>
      <c r="Z90" s="4">
        <f t="shared" si="9"/>
        <v>0</v>
      </c>
      <c r="AA90" s="4">
        <f t="shared" si="10"/>
        <v>0</v>
      </c>
    </row>
    <row r="91" spans="1:28">
      <c r="A91" s="46">
        <v>42347</v>
      </c>
      <c r="B91" s="47">
        <v>0.41666666666666669</v>
      </c>
      <c r="C91" s="46">
        <v>42348</v>
      </c>
      <c r="D91" s="47">
        <v>0.4375</v>
      </c>
      <c r="E91" s="48">
        <v>24.5</v>
      </c>
      <c r="F91" s="49">
        <v>1.5</v>
      </c>
      <c r="G91" s="49">
        <v>1.7</v>
      </c>
      <c r="H91" s="4">
        <v>239</v>
      </c>
      <c r="I91" s="4">
        <v>1575</v>
      </c>
      <c r="J91" s="48">
        <f t="shared" si="11"/>
        <v>18.096732026143791</v>
      </c>
      <c r="K91" s="4">
        <v>5030</v>
      </c>
      <c r="L91" s="4">
        <v>54</v>
      </c>
      <c r="M91" s="50">
        <v>6.15</v>
      </c>
      <c r="P91" s="4">
        <v>0</v>
      </c>
      <c r="Q91" s="4">
        <v>0</v>
      </c>
      <c r="R91" s="4">
        <v>0</v>
      </c>
      <c r="S91" s="4">
        <v>0</v>
      </c>
      <c r="T91" s="51">
        <v>0</v>
      </c>
      <c r="U91" s="51">
        <v>0</v>
      </c>
      <c r="V91" s="51">
        <v>0</v>
      </c>
      <c r="W91" s="4">
        <f t="shared" si="6"/>
        <v>0</v>
      </c>
      <c r="X91" s="4">
        <f t="shared" si="7"/>
        <v>0</v>
      </c>
      <c r="Y91" s="4">
        <f t="shared" si="8"/>
        <v>0</v>
      </c>
      <c r="Z91" s="4">
        <f t="shared" si="9"/>
        <v>0</v>
      </c>
      <c r="AA91" s="4">
        <f t="shared" si="10"/>
        <v>0</v>
      </c>
    </row>
    <row r="92" spans="1:28">
      <c r="A92" s="53">
        <v>42348</v>
      </c>
      <c r="B92" s="54">
        <v>0.4375</v>
      </c>
      <c r="C92" s="53">
        <v>42349</v>
      </c>
      <c r="D92" s="54">
        <v>0.42708333333333331</v>
      </c>
      <c r="E92" s="55">
        <v>23.75</v>
      </c>
      <c r="F92" s="56">
        <v>1.4</v>
      </c>
      <c r="G92" s="56">
        <v>1.9</v>
      </c>
      <c r="H92" s="57">
        <v>1721</v>
      </c>
      <c r="I92" s="57">
        <v>2033</v>
      </c>
      <c r="J92" s="55">
        <f t="shared" si="11"/>
        <v>38.321428571428577</v>
      </c>
      <c r="K92" s="57">
        <v>5150</v>
      </c>
      <c r="L92" s="57">
        <v>54</v>
      </c>
      <c r="M92" s="58">
        <v>7.72</v>
      </c>
      <c r="N92" s="57"/>
      <c r="O92" s="57"/>
      <c r="P92" s="57">
        <v>0</v>
      </c>
      <c r="Q92" s="57">
        <v>0</v>
      </c>
      <c r="R92" s="57">
        <v>0</v>
      </c>
      <c r="S92" s="57">
        <v>0</v>
      </c>
      <c r="T92" s="59">
        <v>0</v>
      </c>
      <c r="U92" s="59">
        <v>0</v>
      </c>
      <c r="V92" s="59">
        <v>0</v>
      </c>
      <c r="W92" s="57">
        <f t="shared" si="6"/>
        <v>0</v>
      </c>
      <c r="X92" s="57">
        <f t="shared" si="7"/>
        <v>0</v>
      </c>
      <c r="Y92" s="57">
        <f t="shared" si="8"/>
        <v>0</v>
      </c>
      <c r="Z92" s="57">
        <f t="shared" si="9"/>
        <v>0</v>
      </c>
      <c r="AA92" s="57">
        <f t="shared" si="10"/>
        <v>0</v>
      </c>
      <c r="AB92" s="57" t="s">
        <v>37</v>
      </c>
    </row>
    <row r="93" spans="1:28">
      <c r="A93" s="53">
        <v>42349</v>
      </c>
      <c r="B93" s="54">
        <v>0.42708333333333331</v>
      </c>
      <c r="C93" s="53">
        <v>42350</v>
      </c>
      <c r="D93" s="54">
        <v>0.40625</v>
      </c>
      <c r="E93" s="55">
        <v>23.5</v>
      </c>
      <c r="F93" s="56">
        <v>1.4</v>
      </c>
      <c r="G93" s="56">
        <v>2</v>
      </c>
      <c r="H93" s="57">
        <v>502</v>
      </c>
      <c r="I93" s="57">
        <v>1713</v>
      </c>
      <c r="J93" s="55">
        <f t="shared" si="11"/>
        <v>20.251190476190477</v>
      </c>
      <c r="K93" s="57">
        <v>7800</v>
      </c>
      <c r="L93" s="57">
        <v>53</v>
      </c>
      <c r="M93" s="58">
        <v>7.75</v>
      </c>
      <c r="N93" s="57"/>
      <c r="O93" s="57"/>
      <c r="P93" s="57">
        <v>0</v>
      </c>
      <c r="Q93" s="57">
        <v>0</v>
      </c>
      <c r="R93" s="57">
        <v>0</v>
      </c>
      <c r="S93" s="57">
        <v>0</v>
      </c>
      <c r="T93" s="59">
        <v>0</v>
      </c>
      <c r="U93" s="59">
        <v>0</v>
      </c>
      <c r="V93" s="59">
        <v>0</v>
      </c>
      <c r="W93" s="57">
        <f t="shared" si="6"/>
        <v>0</v>
      </c>
      <c r="X93" s="57">
        <f t="shared" si="7"/>
        <v>0</v>
      </c>
      <c r="Y93" s="57">
        <f t="shared" si="8"/>
        <v>0</v>
      </c>
      <c r="Z93" s="57">
        <f t="shared" si="9"/>
        <v>0</v>
      </c>
      <c r="AA93" s="57">
        <f t="shared" si="10"/>
        <v>0</v>
      </c>
      <c r="AB93" s="57" t="s">
        <v>37</v>
      </c>
    </row>
    <row r="94" spans="1:28">
      <c r="A94" s="53">
        <v>42350</v>
      </c>
      <c r="B94" s="54">
        <v>0.40625</v>
      </c>
      <c r="C94" s="53">
        <v>42351</v>
      </c>
      <c r="D94" s="54">
        <v>0.45833333333333331</v>
      </c>
      <c r="E94" s="55">
        <v>25.25</v>
      </c>
      <c r="F94" s="56">
        <v>1.8</v>
      </c>
      <c r="G94" s="56">
        <v>2.2000000000000002</v>
      </c>
      <c r="H94" s="57">
        <v>805</v>
      </c>
      <c r="I94" s="57">
        <v>773</v>
      </c>
      <c r="J94" s="55">
        <f t="shared" si="11"/>
        <v>13.30976430976431</v>
      </c>
      <c r="K94" s="57">
        <v>7090</v>
      </c>
      <c r="L94" s="57">
        <v>53</v>
      </c>
      <c r="M94" s="58">
        <v>15.2</v>
      </c>
      <c r="N94" s="57"/>
      <c r="O94" s="57"/>
      <c r="P94" s="57">
        <v>0</v>
      </c>
      <c r="Q94" s="57">
        <v>0</v>
      </c>
      <c r="R94" s="57">
        <v>0</v>
      </c>
      <c r="S94" s="57">
        <v>0</v>
      </c>
      <c r="T94" s="59">
        <v>0</v>
      </c>
      <c r="U94" s="59">
        <v>0</v>
      </c>
      <c r="V94" s="59">
        <v>0</v>
      </c>
      <c r="W94" s="57">
        <f t="shared" si="6"/>
        <v>0</v>
      </c>
      <c r="X94" s="57">
        <f t="shared" si="7"/>
        <v>0</v>
      </c>
      <c r="Y94" s="57">
        <f t="shared" si="8"/>
        <v>0</v>
      </c>
      <c r="Z94" s="57">
        <f t="shared" si="9"/>
        <v>0</v>
      </c>
      <c r="AA94" s="57">
        <f t="shared" si="10"/>
        <v>0</v>
      </c>
      <c r="AB94" s="57" t="s">
        <v>37</v>
      </c>
    </row>
    <row r="95" spans="1:28">
      <c r="A95" s="53">
        <v>42351</v>
      </c>
      <c r="B95" s="54">
        <v>0.45833333333333331</v>
      </c>
      <c r="C95" s="53">
        <v>42352</v>
      </c>
      <c r="D95" s="54">
        <v>0.42708333333333331</v>
      </c>
      <c r="E95" s="55">
        <v>23.25</v>
      </c>
      <c r="F95" s="56">
        <v>1.9</v>
      </c>
      <c r="G95" s="56">
        <v>2.2000000000000002</v>
      </c>
      <c r="H95" s="57">
        <v>1967</v>
      </c>
      <c r="I95" s="57">
        <v>2915</v>
      </c>
      <c r="J95" s="55">
        <f t="shared" si="11"/>
        <v>39.337719298245609</v>
      </c>
      <c r="K95" s="57">
        <v>6140</v>
      </c>
      <c r="L95" s="57">
        <v>50</v>
      </c>
      <c r="M95" s="58">
        <v>13.5</v>
      </c>
      <c r="N95" s="57"/>
      <c r="O95" s="57"/>
      <c r="P95" s="57">
        <v>0</v>
      </c>
      <c r="Q95" s="57">
        <v>0</v>
      </c>
      <c r="R95" s="57">
        <v>0</v>
      </c>
      <c r="S95" s="57">
        <v>0</v>
      </c>
      <c r="T95" s="59">
        <v>7</v>
      </c>
      <c r="U95" s="59">
        <v>0</v>
      </c>
      <c r="V95" s="59">
        <v>0</v>
      </c>
      <c r="W95" s="57">
        <f t="shared" si="6"/>
        <v>0</v>
      </c>
      <c r="X95" s="57">
        <f t="shared" si="7"/>
        <v>0</v>
      </c>
      <c r="Y95" s="57">
        <f t="shared" si="8"/>
        <v>0</v>
      </c>
      <c r="Z95" s="57">
        <f t="shared" si="9"/>
        <v>0</v>
      </c>
      <c r="AA95" s="57">
        <f t="shared" si="10"/>
        <v>0</v>
      </c>
      <c r="AB95" s="57" t="s">
        <v>37</v>
      </c>
    </row>
    <row r="96" spans="1:28">
      <c r="A96" s="46">
        <v>42352</v>
      </c>
      <c r="B96" s="47">
        <v>0.42708333333333331</v>
      </c>
      <c r="C96" s="46">
        <v>42353</v>
      </c>
      <c r="D96" s="47">
        <v>0.39583333333333331</v>
      </c>
      <c r="E96" s="48">
        <v>23.25</v>
      </c>
      <c r="F96" s="49">
        <v>1.9</v>
      </c>
      <c r="G96" s="49">
        <v>2.5</v>
      </c>
      <c r="H96" s="4">
        <v>2305</v>
      </c>
      <c r="I96" s="4">
        <v>3235</v>
      </c>
      <c r="J96" s="48">
        <f t="shared" si="11"/>
        <v>41.785964912280704</v>
      </c>
      <c r="K96" s="4">
        <v>8270</v>
      </c>
      <c r="L96" s="4">
        <v>49</v>
      </c>
      <c r="M96" s="50">
        <v>19.66</v>
      </c>
      <c r="N96" s="4">
        <v>33</v>
      </c>
      <c r="O96" s="4">
        <v>85</v>
      </c>
      <c r="P96" s="4">
        <v>1</v>
      </c>
      <c r="Q96" s="4">
        <v>4</v>
      </c>
      <c r="R96" s="4">
        <v>2</v>
      </c>
      <c r="S96" s="4">
        <v>0</v>
      </c>
      <c r="T96" s="51">
        <v>10</v>
      </c>
      <c r="U96" s="51">
        <v>0</v>
      </c>
      <c r="V96" s="51">
        <v>0</v>
      </c>
      <c r="W96" s="4">
        <f t="shared" si="6"/>
        <v>2.3931480392980098E-2</v>
      </c>
      <c r="X96" s="4">
        <f t="shared" si="7"/>
        <v>9.5725921571920392E-2</v>
      </c>
      <c r="Y96" s="4">
        <f t="shared" si="8"/>
        <v>4.7862960785960196E-2</v>
      </c>
      <c r="Z96" s="4">
        <f t="shared" si="9"/>
        <v>0</v>
      </c>
      <c r="AA96" s="4">
        <f t="shared" si="10"/>
        <v>0</v>
      </c>
    </row>
    <row r="97" spans="1:28">
      <c r="A97" s="46">
        <v>42353</v>
      </c>
      <c r="B97" s="47">
        <v>0.39583333333333331</v>
      </c>
      <c r="C97" s="46">
        <v>42354</v>
      </c>
      <c r="D97" s="47">
        <v>0.38541666666666669</v>
      </c>
      <c r="E97" s="48">
        <v>23.75</v>
      </c>
      <c r="F97" s="49">
        <v>1.9</v>
      </c>
      <c r="G97" s="49">
        <v>2.2999999999999998</v>
      </c>
      <c r="H97" s="4">
        <v>1501</v>
      </c>
      <c r="I97" s="4">
        <v>1863</v>
      </c>
      <c r="J97" s="48">
        <f t="shared" si="11"/>
        <v>26.666666666666668</v>
      </c>
      <c r="K97" s="4">
        <v>7490</v>
      </c>
      <c r="L97" s="4">
        <v>48</v>
      </c>
      <c r="M97" s="50">
        <v>23.8</v>
      </c>
      <c r="N97" s="4">
        <v>70</v>
      </c>
      <c r="O97" s="4">
        <v>73</v>
      </c>
      <c r="P97" s="4">
        <v>0</v>
      </c>
      <c r="Q97" s="4">
        <v>0</v>
      </c>
      <c r="R97" s="4">
        <v>2</v>
      </c>
      <c r="S97" s="4">
        <v>0</v>
      </c>
      <c r="T97" s="51">
        <v>1</v>
      </c>
      <c r="U97" s="51">
        <v>0</v>
      </c>
      <c r="V97" s="51">
        <v>0</v>
      </c>
      <c r="W97" s="4">
        <f t="shared" si="6"/>
        <v>0</v>
      </c>
      <c r="X97" s="4">
        <f t="shared" si="7"/>
        <v>0</v>
      </c>
      <c r="Y97" s="4">
        <f t="shared" si="8"/>
        <v>7.4999999999999997E-2</v>
      </c>
      <c r="Z97" s="4">
        <f t="shared" si="9"/>
        <v>0</v>
      </c>
      <c r="AA97" s="4">
        <f t="shared" si="10"/>
        <v>0</v>
      </c>
    </row>
    <row r="98" spans="1:28">
      <c r="A98" s="46">
        <v>42354</v>
      </c>
      <c r="B98" s="47">
        <v>0.38541666666666669</v>
      </c>
      <c r="C98" s="46">
        <v>42355</v>
      </c>
      <c r="D98" s="47">
        <v>0.39583333333333331</v>
      </c>
      <c r="E98" s="48">
        <v>24.25</v>
      </c>
      <c r="F98" s="49">
        <v>1.6</v>
      </c>
      <c r="G98" s="49">
        <v>2.6</v>
      </c>
      <c r="H98" s="4">
        <v>1146</v>
      </c>
      <c r="I98" s="4">
        <v>350</v>
      </c>
      <c r="J98" s="48">
        <f t="shared" si="11"/>
        <v>14.181089743589745</v>
      </c>
      <c r="K98" s="4">
        <v>5790</v>
      </c>
      <c r="L98" s="4">
        <v>46</v>
      </c>
      <c r="M98" s="50">
        <v>26.8</v>
      </c>
      <c r="N98" s="4">
        <v>34</v>
      </c>
      <c r="O98" s="4">
        <v>81</v>
      </c>
      <c r="P98" s="4">
        <v>2</v>
      </c>
      <c r="Q98" s="4">
        <v>0</v>
      </c>
      <c r="R98" s="4">
        <v>2</v>
      </c>
      <c r="S98" s="4">
        <v>0</v>
      </c>
      <c r="T98" s="51">
        <v>1</v>
      </c>
      <c r="U98" s="51">
        <v>0</v>
      </c>
      <c r="V98" s="51">
        <v>0</v>
      </c>
      <c r="W98" s="4">
        <f t="shared" si="6"/>
        <v>0.14103288507175951</v>
      </c>
      <c r="X98" s="4">
        <f t="shared" si="7"/>
        <v>0</v>
      </c>
      <c r="Y98" s="4">
        <f t="shared" si="8"/>
        <v>0.14103288507175951</v>
      </c>
      <c r="Z98" s="4">
        <f t="shared" si="9"/>
        <v>0</v>
      </c>
      <c r="AA98" s="4">
        <f t="shared" si="10"/>
        <v>0</v>
      </c>
    </row>
    <row r="99" spans="1:28">
      <c r="A99" s="46">
        <v>42355</v>
      </c>
      <c r="B99" s="47">
        <v>0.39583333333333331</v>
      </c>
      <c r="C99" s="46">
        <v>42356</v>
      </c>
      <c r="D99" s="47">
        <v>0.39583333333333331</v>
      </c>
      <c r="E99" s="48">
        <v>24</v>
      </c>
      <c r="F99" s="49">
        <v>1.5</v>
      </c>
      <c r="G99" s="49">
        <v>2.2000000000000002</v>
      </c>
      <c r="H99" s="4">
        <v>627</v>
      </c>
      <c r="I99" s="4">
        <v>197</v>
      </c>
      <c r="J99" s="48">
        <f t="shared" si="11"/>
        <v>8.459090909090909</v>
      </c>
      <c r="K99" s="4">
        <v>5170</v>
      </c>
      <c r="L99" s="4">
        <v>47</v>
      </c>
      <c r="M99" s="50">
        <v>20.010000000000002</v>
      </c>
      <c r="P99" s="4">
        <v>0</v>
      </c>
      <c r="Q99" s="4">
        <v>0</v>
      </c>
      <c r="R99" s="4">
        <v>0</v>
      </c>
      <c r="S99" s="4">
        <v>0</v>
      </c>
      <c r="T99" s="51">
        <v>0</v>
      </c>
      <c r="U99" s="51">
        <v>0</v>
      </c>
      <c r="V99" s="51">
        <v>0</v>
      </c>
      <c r="W99" s="4">
        <f t="shared" si="6"/>
        <v>0</v>
      </c>
      <c r="X99" s="4">
        <f t="shared" si="7"/>
        <v>0</v>
      </c>
      <c r="Y99" s="4">
        <f t="shared" si="8"/>
        <v>0</v>
      </c>
      <c r="Z99" s="4">
        <f t="shared" si="9"/>
        <v>0</v>
      </c>
      <c r="AA99" s="4">
        <f t="shared" si="10"/>
        <v>0</v>
      </c>
    </row>
    <row r="100" spans="1:28">
      <c r="A100" s="46">
        <v>42356</v>
      </c>
      <c r="B100" s="47">
        <v>0.39583333333333331</v>
      </c>
      <c r="C100" s="46">
        <v>42357</v>
      </c>
      <c r="D100" s="47">
        <v>0.4375</v>
      </c>
      <c r="E100" s="48">
        <v>25</v>
      </c>
      <c r="F100" s="49">
        <v>1.5</v>
      </c>
      <c r="G100" s="49">
        <v>2.2999999999999998</v>
      </c>
      <c r="H100" s="4">
        <v>554</v>
      </c>
      <c r="I100" s="4">
        <v>1084</v>
      </c>
      <c r="J100" s="48">
        <f t="shared" si="11"/>
        <v>14.01062801932367</v>
      </c>
      <c r="K100" s="4">
        <v>4990</v>
      </c>
      <c r="L100" s="4">
        <v>52</v>
      </c>
      <c r="M100" s="50">
        <v>12.53</v>
      </c>
      <c r="P100" s="4">
        <v>0</v>
      </c>
      <c r="Q100" s="4">
        <v>0</v>
      </c>
      <c r="R100" s="4">
        <v>0</v>
      </c>
      <c r="S100" s="4">
        <v>0</v>
      </c>
      <c r="T100" s="51">
        <v>0</v>
      </c>
      <c r="U100" s="51">
        <v>0</v>
      </c>
      <c r="V100" s="51">
        <v>0</v>
      </c>
      <c r="W100" s="4">
        <f t="shared" si="6"/>
        <v>0</v>
      </c>
      <c r="X100" s="4">
        <f t="shared" si="7"/>
        <v>0</v>
      </c>
      <c r="Y100" s="4">
        <f t="shared" si="8"/>
        <v>0</v>
      </c>
      <c r="Z100" s="4">
        <f t="shared" si="9"/>
        <v>0</v>
      </c>
      <c r="AA100" s="4">
        <f t="shared" si="10"/>
        <v>0</v>
      </c>
    </row>
    <row r="101" spans="1:28">
      <c r="A101" s="46">
        <v>42357</v>
      </c>
      <c r="B101" s="47">
        <v>0.4375</v>
      </c>
      <c r="C101" s="46">
        <v>42358</v>
      </c>
      <c r="D101" s="47">
        <v>0.44791666666666669</v>
      </c>
      <c r="E101" s="48">
        <v>24.25</v>
      </c>
      <c r="F101" s="49">
        <v>1.8</v>
      </c>
      <c r="G101" s="49">
        <v>2.5</v>
      </c>
      <c r="H101" s="4">
        <v>2553</v>
      </c>
      <c r="I101" s="4">
        <v>3310</v>
      </c>
      <c r="J101" s="48">
        <f t="shared" si="11"/>
        <v>45.705555555555549</v>
      </c>
      <c r="K101" s="4">
        <v>11100</v>
      </c>
      <c r="L101" s="4">
        <v>47</v>
      </c>
      <c r="M101" s="50">
        <v>9.91</v>
      </c>
      <c r="N101" s="4">
        <v>38</v>
      </c>
      <c r="O101" s="4">
        <v>87</v>
      </c>
      <c r="P101" s="4">
        <v>0</v>
      </c>
      <c r="Q101" s="4">
        <v>3</v>
      </c>
      <c r="R101" s="4">
        <v>3</v>
      </c>
      <c r="S101" s="4">
        <v>0</v>
      </c>
      <c r="T101" s="51">
        <v>0</v>
      </c>
      <c r="U101" s="51">
        <v>0</v>
      </c>
      <c r="V101" s="51">
        <v>0</v>
      </c>
      <c r="W101" s="4">
        <f t="shared" si="6"/>
        <v>0</v>
      </c>
      <c r="X101" s="4">
        <f t="shared" si="7"/>
        <v>6.563753494590982E-2</v>
      </c>
      <c r="Y101" s="4">
        <f t="shared" si="8"/>
        <v>6.563753494590982E-2</v>
      </c>
      <c r="Z101" s="4">
        <f t="shared" si="9"/>
        <v>0</v>
      </c>
      <c r="AA101" s="4">
        <f t="shared" si="10"/>
        <v>0</v>
      </c>
    </row>
    <row r="102" spans="1:28">
      <c r="A102" s="46">
        <v>42358</v>
      </c>
      <c r="B102" s="47">
        <v>0.44791666666666669</v>
      </c>
      <c r="C102" s="46">
        <v>42359</v>
      </c>
      <c r="D102" s="47">
        <v>0.375</v>
      </c>
      <c r="E102" s="48">
        <v>22.25</v>
      </c>
      <c r="F102" s="49">
        <v>2.2999999999999998</v>
      </c>
      <c r="G102" s="49">
        <v>2.4</v>
      </c>
      <c r="H102" s="4">
        <v>523</v>
      </c>
      <c r="I102" s="4">
        <v>481</v>
      </c>
      <c r="J102" s="48">
        <f t="shared" si="11"/>
        <v>7.1301328502415462</v>
      </c>
      <c r="K102" s="4">
        <v>11800</v>
      </c>
      <c r="L102" s="4">
        <v>48</v>
      </c>
      <c r="M102" s="50">
        <v>51.9</v>
      </c>
      <c r="P102" s="4">
        <v>0</v>
      </c>
      <c r="Q102" s="4">
        <v>0</v>
      </c>
      <c r="R102" s="4">
        <v>0</v>
      </c>
      <c r="S102" s="4">
        <v>0</v>
      </c>
      <c r="T102" s="51">
        <v>0</v>
      </c>
      <c r="U102" s="51">
        <v>0</v>
      </c>
      <c r="V102" s="51">
        <v>0</v>
      </c>
      <c r="W102" s="4">
        <f t="shared" si="6"/>
        <v>0</v>
      </c>
      <c r="X102" s="4">
        <f t="shared" si="7"/>
        <v>0</v>
      </c>
      <c r="Y102" s="4">
        <f t="shared" si="8"/>
        <v>0</v>
      </c>
      <c r="Z102" s="4">
        <f t="shared" si="9"/>
        <v>0</v>
      </c>
      <c r="AA102" s="4">
        <f t="shared" si="10"/>
        <v>0</v>
      </c>
    </row>
    <row r="103" spans="1:28">
      <c r="A103" s="53">
        <v>42359</v>
      </c>
      <c r="B103" s="54">
        <v>0.375</v>
      </c>
      <c r="C103" s="53">
        <v>42360</v>
      </c>
      <c r="D103" s="54">
        <v>0.39583333333333331</v>
      </c>
      <c r="E103" s="55">
        <v>21</v>
      </c>
      <c r="F103" s="56">
        <v>1.9</v>
      </c>
      <c r="G103" s="56">
        <v>2.2999999999999998</v>
      </c>
      <c r="H103" s="57">
        <v>2180</v>
      </c>
      <c r="I103" s="57">
        <v>3079</v>
      </c>
      <c r="J103" s="55">
        <f t="shared" si="11"/>
        <v>41.43440122044241</v>
      </c>
      <c r="K103" s="57">
        <v>9860</v>
      </c>
      <c r="L103" s="57">
        <v>49</v>
      </c>
      <c r="M103" s="58">
        <v>36.9</v>
      </c>
      <c r="N103" s="57">
        <v>35</v>
      </c>
      <c r="O103" s="57">
        <v>69</v>
      </c>
      <c r="P103" s="57">
        <v>2</v>
      </c>
      <c r="Q103" s="57">
        <v>1</v>
      </c>
      <c r="R103" s="57">
        <v>1</v>
      </c>
      <c r="S103" s="57">
        <v>0</v>
      </c>
      <c r="T103" s="59">
        <v>2</v>
      </c>
      <c r="U103" s="59">
        <v>0</v>
      </c>
      <c r="V103" s="59">
        <v>0</v>
      </c>
      <c r="W103" s="57">
        <f t="shared" si="6"/>
        <v>4.8269069688239248E-2</v>
      </c>
      <c r="X103" s="57">
        <f t="shared" si="7"/>
        <v>2.4134534844119624E-2</v>
      </c>
      <c r="Y103" s="57">
        <f t="shared" si="8"/>
        <v>2.4134534844119624E-2</v>
      </c>
      <c r="Z103" s="57">
        <f t="shared" si="9"/>
        <v>0</v>
      </c>
      <c r="AA103" s="57">
        <f t="shared" si="10"/>
        <v>0</v>
      </c>
      <c r="AB103" s="57" t="s">
        <v>37</v>
      </c>
    </row>
    <row r="104" spans="1:28">
      <c r="A104" s="53">
        <v>42360</v>
      </c>
      <c r="B104" s="54">
        <v>0.39583333333333331</v>
      </c>
      <c r="C104" s="53">
        <v>42361</v>
      </c>
      <c r="D104" s="54">
        <v>0.375</v>
      </c>
      <c r="E104" s="55">
        <v>23.5</v>
      </c>
      <c r="F104" s="56">
        <v>1.5</v>
      </c>
      <c r="G104" s="56">
        <v>2.1</v>
      </c>
      <c r="H104" s="57">
        <v>1320</v>
      </c>
      <c r="I104" s="57">
        <v>1689</v>
      </c>
      <c r="J104" s="55">
        <f t="shared" si="11"/>
        <v>28.071428571428569</v>
      </c>
      <c r="K104" s="57">
        <v>18000</v>
      </c>
      <c r="L104" s="57">
        <v>48</v>
      </c>
      <c r="M104" s="58">
        <v>32.1</v>
      </c>
      <c r="N104" s="57"/>
      <c r="O104" s="57"/>
      <c r="P104" s="57">
        <v>0</v>
      </c>
      <c r="Q104" s="57">
        <v>0</v>
      </c>
      <c r="R104" s="57">
        <v>0</v>
      </c>
      <c r="S104" s="57">
        <v>0</v>
      </c>
      <c r="T104" s="59">
        <v>0</v>
      </c>
      <c r="U104" s="59">
        <v>0</v>
      </c>
      <c r="V104" s="59">
        <v>0</v>
      </c>
      <c r="W104" s="57">
        <f t="shared" si="6"/>
        <v>0</v>
      </c>
      <c r="X104" s="57">
        <f t="shared" si="7"/>
        <v>0</v>
      </c>
      <c r="Y104" s="57">
        <f t="shared" si="8"/>
        <v>0</v>
      </c>
      <c r="Z104" s="57">
        <f t="shared" si="9"/>
        <v>0</v>
      </c>
      <c r="AA104" s="57">
        <f t="shared" si="10"/>
        <v>0</v>
      </c>
      <c r="AB104" s="57" t="s">
        <v>37</v>
      </c>
    </row>
    <row r="105" spans="1:28">
      <c r="A105" s="53">
        <v>42361</v>
      </c>
      <c r="B105" s="54">
        <v>0.375</v>
      </c>
      <c r="C105" s="53">
        <v>42361</v>
      </c>
      <c r="D105" s="54">
        <v>0.5</v>
      </c>
      <c r="E105" s="55">
        <v>3</v>
      </c>
      <c r="F105" s="56">
        <v>2.5</v>
      </c>
      <c r="G105" s="56">
        <v>2.8</v>
      </c>
      <c r="H105" s="57">
        <v>247</v>
      </c>
      <c r="I105" s="57">
        <v>348</v>
      </c>
      <c r="J105" s="55">
        <f t="shared" si="11"/>
        <v>3.7180952380952381</v>
      </c>
      <c r="K105" s="57">
        <v>19000</v>
      </c>
      <c r="L105" s="57">
        <v>48</v>
      </c>
      <c r="M105" s="58">
        <v>32.1</v>
      </c>
      <c r="N105" s="57">
        <v>38</v>
      </c>
      <c r="O105" s="57">
        <v>38</v>
      </c>
      <c r="P105" s="57">
        <v>0</v>
      </c>
      <c r="Q105" s="57">
        <v>1</v>
      </c>
      <c r="R105" s="57">
        <v>0</v>
      </c>
      <c r="S105" s="57">
        <v>0</v>
      </c>
      <c r="T105" s="59">
        <v>0</v>
      </c>
      <c r="U105" s="59">
        <v>0</v>
      </c>
      <c r="V105" s="59">
        <v>0</v>
      </c>
      <c r="W105" s="57">
        <f t="shared" si="6"/>
        <v>0</v>
      </c>
      <c r="X105" s="57">
        <f t="shared" si="7"/>
        <v>0.26895491803278687</v>
      </c>
      <c r="Y105" s="57">
        <f t="shared" si="8"/>
        <v>0</v>
      </c>
      <c r="Z105" s="57">
        <f t="shared" si="9"/>
        <v>0</v>
      </c>
      <c r="AA105" s="57">
        <f t="shared" si="10"/>
        <v>0</v>
      </c>
      <c r="AB105" s="57" t="s">
        <v>37</v>
      </c>
    </row>
    <row r="106" spans="1:28">
      <c r="A106" s="53">
        <v>42362</v>
      </c>
      <c r="B106" s="54">
        <v>0.44791666666666669</v>
      </c>
      <c r="C106" s="53">
        <v>42362</v>
      </c>
      <c r="D106" s="54">
        <v>0.63541666666666663</v>
      </c>
      <c r="E106" s="55">
        <v>4.5</v>
      </c>
      <c r="F106" s="56">
        <v>3.2</v>
      </c>
      <c r="G106" s="56">
        <v>3.5</v>
      </c>
      <c r="H106" s="57">
        <v>638</v>
      </c>
      <c r="I106" s="57">
        <v>880</v>
      </c>
      <c r="J106" s="55">
        <f t="shared" si="11"/>
        <v>7.5133928571428577</v>
      </c>
      <c r="K106" s="57">
        <v>19000</v>
      </c>
      <c r="L106" s="57">
        <v>48</v>
      </c>
      <c r="M106" s="58">
        <v>192.25</v>
      </c>
      <c r="N106" s="57">
        <v>33</v>
      </c>
      <c r="O106" s="57">
        <v>82</v>
      </c>
      <c r="P106" s="57">
        <f>56+80</f>
        <v>136</v>
      </c>
      <c r="Q106" s="57">
        <f>18+13</f>
        <v>31</v>
      </c>
      <c r="R106" s="57">
        <f>3</f>
        <v>3</v>
      </c>
      <c r="S106" s="57">
        <v>0</v>
      </c>
      <c r="T106" s="59">
        <v>1</v>
      </c>
      <c r="U106" s="59">
        <v>0</v>
      </c>
      <c r="V106" s="59">
        <v>0</v>
      </c>
      <c r="W106" s="57">
        <f t="shared" si="6"/>
        <v>18.1010101010101</v>
      </c>
      <c r="X106" s="57">
        <f t="shared" si="7"/>
        <v>4.1259655377302433</v>
      </c>
      <c r="Y106" s="57">
        <f t="shared" si="8"/>
        <v>0.39928698752228159</v>
      </c>
      <c r="Z106" s="57">
        <f t="shared" si="9"/>
        <v>0</v>
      </c>
      <c r="AA106" s="57">
        <f t="shared" si="10"/>
        <v>0</v>
      </c>
      <c r="AB106" s="57" t="s">
        <v>37</v>
      </c>
    </row>
    <row r="107" spans="1:28">
      <c r="A107" s="53">
        <v>42364</v>
      </c>
      <c r="B107" s="54">
        <v>0.36458333333333331</v>
      </c>
      <c r="C107" s="53">
        <v>42365</v>
      </c>
      <c r="D107" s="54">
        <v>0.42708333333333331</v>
      </c>
      <c r="E107" s="55">
        <v>25.2</v>
      </c>
      <c r="F107" s="56">
        <v>2.5</v>
      </c>
      <c r="G107" s="56">
        <v>2.9</v>
      </c>
      <c r="H107" s="57">
        <v>3145</v>
      </c>
      <c r="I107" s="57">
        <v>4236</v>
      </c>
      <c r="J107" s="55">
        <f t="shared" si="11"/>
        <v>45.311494252873565</v>
      </c>
      <c r="K107" s="57">
        <v>8070</v>
      </c>
      <c r="L107" s="57">
        <v>46</v>
      </c>
      <c r="M107" s="58">
        <v>47.2</v>
      </c>
      <c r="N107" s="57">
        <v>33</v>
      </c>
      <c r="O107" s="57">
        <v>90</v>
      </c>
      <c r="P107" s="57">
        <f>14+27</f>
        <v>41</v>
      </c>
      <c r="Q107" s="57">
        <f>11+8</f>
        <v>19</v>
      </c>
      <c r="R107" s="57">
        <f>2+4</f>
        <v>6</v>
      </c>
      <c r="S107" s="57">
        <v>0</v>
      </c>
      <c r="T107" s="59">
        <f>3+2</f>
        <v>5</v>
      </c>
      <c r="U107" s="59">
        <v>0</v>
      </c>
      <c r="V107" s="59">
        <v>0</v>
      </c>
      <c r="W107" s="57">
        <f t="shared" si="6"/>
        <v>0.90484767002359145</v>
      </c>
      <c r="X107" s="57">
        <f t="shared" si="7"/>
        <v>0.41931965196215215</v>
      </c>
      <c r="Y107" s="57">
        <f t="shared" si="8"/>
        <v>0.13241673219857436</v>
      </c>
      <c r="Z107" s="57">
        <f t="shared" si="9"/>
        <v>0</v>
      </c>
      <c r="AA107" s="57">
        <f t="shared" si="10"/>
        <v>0</v>
      </c>
      <c r="AB107" s="57" t="s">
        <v>37</v>
      </c>
    </row>
    <row r="108" spans="1:28">
      <c r="A108" s="53">
        <v>42365</v>
      </c>
      <c r="B108" s="54">
        <v>0.42708333333333331</v>
      </c>
      <c r="C108" s="53">
        <v>42366</v>
      </c>
      <c r="D108" s="54">
        <v>0.375</v>
      </c>
      <c r="E108" s="55">
        <v>22.75</v>
      </c>
      <c r="F108" s="56">
        <v>1.7</v>
      </c>
      <c r="G108" s="56">
        <v>2.7</v>
      </c>
      <c r="H108" s="57">
        <v>2692</v>
      </c>
      <c r="I108" s="57">
        <v>3780</v>
      </c>
      <c r="J108" s="55">
        <f t="shared" si="11"/>
        <v>49.725490196078432</v>
      </c>
      <c r="K108" s="57">
        <v>6940</v>
      </c>
      <c r="L108" s="57">
        <v>45</v>
      </c>
      <c r="M108" s="58">
        <v>29.2</v>
      </c>
      <c r="N108" s="57">
        <v>34</v>
      </c>
      <c r="O108" s="57">
        <v>84</v>
      </c>
      <c r="P108" s="57">
        <f>3+9</f>
        <v>12</v>
      </c>
      <c r="Q108" s="57">
        <v>1</v>
      </c>
      <c r="R108" s="57">
        <f>1+3</f>
        <v>4</v>
      </c>
      <c r="S108" s="57">
        <v>0</v>
      </c>
      <c r="T108" s="59">
        <v>0</v>
      </c>
      <c r="U108" s="59">
        <v>0</v>
      </c>
      <c r="V108" s="59">
        <v>0</v>
      </c>
      <c r="W108" s="57">
        <f t="shared" si="6"/>
        <v>0.24132492113564669</v>
      </c>
      <c r="X108" s="57">
        <f t="shared" si="7"/>
        <v>2.0110410094637224E-2</v>
      </c>
      <c r="Y108" s="57">
        <f t="shared" si="8"/>
        <v>8.0441640378548895E-2</v>
      </c>
      <c r="Z108" s="57">
        <f t="shared" si="9"/>
        <v>0</v>
      </c>
      <c r="AA108" s="57">
        <f t="shared" si="10"/>
        <v>0</v>
      </c>
      <c r="AB108" s="57" t="s">
        <v>37</v>
      </c>
    </row>
    <row r="109" spans="1:28">
      <c r="A109" s="60">
        <v>42366</v>
      </c>
      <c r="B109" s="61">
        <v>0.375</v>
      </c>
      <c r="C109" s="46">
        <v>42367</v>
      </c>
      <c r="D109" s="47">
        <v>0.39583333333333331</v>
      </c>
      <c r="E109" s="48">
        <v>24.5</v>
      </c>
      <c r="F109" s="49">
        <v>1.9</v>
      </c>
      <c r="G109" s="49">
        <v>2.6</v>
      </c>
      <c r="H109" s="4">
        <v>2818</v>
      </c>
      <c r="I109" s="4">
        <v>4000</v>
      </c>
      <c r="J109" s="48">
        <f t="shared" si="11"/>
        <v>50.360323886639677</v>
      </c>
      <c r="K109" s="4">
        <v>5970</v>
      </c>
      <c r="L109" s="4">
        <v>44</v>
      </c>
      <c r="M109" s="50">
        <v>19.73</v>
      </c>
      <c r="N109" s="4">
        <v>35</v>
      </c>
      <c r="O109" s="4">
        <v>42</v>
      </c>
      <c r="P109" s="4">
        <f>12+21</f>
        <v>33</v>
      </c>
      <c r="Q109" s="4">
        <f>1+5</f>
        <v>6</v>
      </c>
      <c r="R109" s="4">
        <v>0</v>
      </c>
      <c r="S109" s="4">
        <v>0</v>
      </c>
      <c r="T109" s="51">
        <v>2</v>
      </c>
      <c r="U109" s="51">
        <v>0</v>
      </c>
      <c r="V109" s="62">
        <v>0</v>
      </c>
      <c r="W109" s="63">
        <f t="shared" si="6"/>
        <v>0.65527775544657929</v>
      </c>
      <c r="X109" s="63">
        <f t="shared" si="7"/>
        <v>0.11914141008119623</v>
      </c>
      <c r="Y109" s="63">
        <f t="shared" si="8"/>
        <v>0</v>
      </c>
      <c r="Z109" s="63">
        <f t="shared" si="9"/>
        <v>0</v>
      </c>
      <c r="AA109" s="63">
        <f t="shared" si="10"/>
        <v>0</v>
      </c>
      <c r="AB109" s="63"/>
    </row>
    <row r="110" spans="1:28">
      <c r="A110" s="46">
        <v>42367</v>
      </c>
      <c r="B110" s="47">
        <v>0.39583333333333331</v>
      </c>
      <c r="C110" s="46">
        <v>42368</v>
      </c>
      <c r="D110" s="47">
        <v>0.39583333333333331</v>
      </c>
      <c r="E110" s="48">
        <v>24</v>
      </c>
      <c r="F110" s="49">
        <v>1.7</v>
      </c>
      <c r="G110" s="49">
        <v>2.5</v>
      </c>
      <c r="H110" s="4">
        <v>2514</v>
      </c>
      <c r="I110" s="4">
        <v>3724</v>
      </c>
      <c r="J110" s="48">
        <f t="shared" si="11"/>
        <v>49.473725490196074</v>
      </c>
      <c r="K110" s="4">
        <v>5550</v>
      </c>
      <c r="L110" s="4">
        <v>44</v>
      </c>
      <c r="M110" s="50">
        <v>14.5</v>
      </c>
      <c r="N110" s="4">
        <v>34</v>
      </c>
      <c r="O110" s="4">
        <v>76</v>
      </c>
      <c r="P110" s="4">
        <f>6+9</f>
        <v>15</v>
      </c>
      <c r="Q110" s="4">
        <f>1</f>
        <v>1</v>
      </c>
      <c r="R110" s="4">
        <f>1</f>
        <v>1</v>
      </c>
      <c r="S110" s="4">
        <v>0</v>
      </c>
      <c r="T110" s="51">
        <v>2</v>
      </c>
      <c r="U110" s="51">
        <v>0</v>
      </c>
      <c r="V110" s="51">
        <v>0</v>
      </c>
      <c r="W110" s="63">
        <f t="shared" si="6"/>
        <v>0.303191236386119</v>
      </c>
      <c r="X110" s="63">
        <f t="shared" si="7"/>
        <v>2.0212749092407934E-2</v>
      </c>
      <c r="Y110" s="63">
        <f t="shared" si="8"/>
        <v>2.0212749092407934E-2</v>
      </c>
      <c r="Z110" s="63">
        <f t="shared" si="9"/>
        <v>0</v>
      </c>
      <c r="AA110" s="63">
        <f t="shared" si="10"/>
        <v>0</v>
      </c>
    </row>
    <row r="111" spans="1:28">
      <c r="A111" s="46">
        <v>42368</v>
      </c>
      <c r="B111" s="47">
        <v>0.39583333333333331</v>
      </c>
      <c r="C111" s="46">
        <v>42369</v>
      </c>
      <c r="D111" s="47">
        <v>0.625</v>
      </c>
      <c r="E111" s="48">
        <v>29.5</v>
      </c>
      <c r="F111" s="49">
        <v>1.8</v>
      </c>
      <c r="G111" s="49">
        <v>2.6</v>
      </c>
      <c r="H111" s="4">
        <v>3121</v>
      </c>
      <c r="I111" s="4">
        <v>4571</v>
      </c>
      <c r="J111" s="48">
        <f xml:space="preserve"> (((H111/F111)+(I111/G111))/60)</f>
        <v>58.199430199430203</v>
      </c>
      <c r="K111" s="4">
        <v>5200</v>
      </c>
      <c r="L111" s="4">
        <v>45</v>
      </c>
      <c r="M111" s="50">
        <v>15.4</v>
      </c>
      <c r="N111" s="4">
        <v>35</v>
      </c>
      <c r="O111" s="4">
        <v>40</v>
      </c>
      <c r="P111" s="4">
        <f>5+6</f>
        <v>11</v>
      </c>
      <c r="Q111" s="4">
        <v>1</v>
      </c>
      <c r="R111" s="4">
        <v>0</v>
      </c>
      <c r="S111" s="4">
        <v>0</v>
      </c>
      <c r="T111" s="51">
        <v>1</v>
      </c>
      <c r="U111" s="51">
        <v>0</v>
      </c>
      <c r="V111" s="51">
        <v>0</v>
      </c>
      <c r="W111" s="63">
        <f t="shared" si="6"/>
        <v>0.18900528686117093</v>
      </c>
      <c r="X111" s="63">
        <f t="shared" si="7"/>
        <v>1.7182298805560995E-2</v>
      </c>
      <c r="Y111" s="63">
        <f t="shared" si="8"/>
        <v>0</v>
      </c>
      <c r="Z111" s="63">
        <f t="shared" si="9"/>
        <v>0</v>
      </c>
      <c r="AA111" s="63">
        <f t="shared" si="10"/>
        <v>0</v>
      </c>
    </row>
    <row r="112" spans="1:28">
      <c r="A112" s="46">
        <v>42371</v>
      </c>
      <c r="B112" s="47">
        <v>0.39583333333333331</v>
      </c>
      <c r="C112" s="46">
        <v>42372</v>
      </c>
      <c r="D112" s="47">
        <v>0.40625</v>
      </c>
      <c r="E112" s="48">
        <v>24.25</v>
      </c>
      <c r="F112" s="64" t="s">
        <v>38</v>
      </c>
      <c r="G112" s="49">
        <v>2.6</v>
      </c>
      <c r="H112" s="51" t="s">
        <v>38</v>
      </c>
      <c r="I112" s="4">
        <v>3805</v>
      </c>
      <c r="J112" s="48">
        <f>((I112/G112))/60</f>
        <v>24.391025641025639</v>
      </c>
      <c r="K112" s="4">
        <v>4700</v>
      </c>
      <c r="L112" s="4">
        <v>44</v>
      </c>
      <c r="M112" s="50">
        <v>8.6</v>
      </c>
      <c r="N112" s="4">
        <v>36</v>
      </c>
      <c r="O112" s="4">
        <v>36</v>
      </c>
      <c r="P112" s="4">
        <v>1</v>
      </c>
      <c r="Q112" s="4">
        <v>0</v>
      </c>
      <c r="R112" s="4">
        <v>0</v>
      </c>
      <c r="S112" s="4">
        <v>0</v>
      </c>
      <c r="T112" s="51">
        <v>0</v>
      </c>
      <c r="U112" s="51">
        <v>0</v>
      </c>
      <c r="V112" s="51">
        <v>0</v>
      </c>
      <c r="W112" s="63">
        <f t="shared" si="6"/>
        <v>4.099868593955322E-2</v>
      </c>
      <c r="X112" s="63">
        <f t="shared" si="7"/>
        <v>0</v>
      </c>
      <c r="Y112" s="63">
        <f t="shared" si="8"/>
        <v>0</v>
      </c>
      <c r="Z112" s="63">
        <f t="shared" si="9"/>
        <v>0</v>
      </c>
      <c r="AA112" s="63">
        <f t="shared" si="10"/>
        <v>0</v>
      </c>
      <c r="AB112" s="4" t="s">
        <v>39</v>
      </c>
    </row>
    <row r="113" spans="1:27">
      <c r="A113" s="46">
        <v>42372</v>
      </c>
      <c r="B113" s="47">
        <v>0.40625</v>
      </c>
      <c r="C113" s="46">
        <v>42373</v>
      </c>
      <c r="D113" s="47">
        <v>0.39583333333333331</v>
      </c>
      <c r="E113" s="48">
        <v>24.25</v>
      </c>
      <c r="F113" s="49">
        <v>1.6</v>
      </c>
      <c r="G113" s="49">
        <v>2.5</v>
      </c>
      <c r="H113" s="4">
        <v>2346</v>
      </c>
      <c r="I113" s="4">
        <v>3604</v>
      </c>
      <c r="J113" s="48">
        <f t="shared" ref="J113:J143" si="12" xml:space="preserve"> (((H113/F113)+(I113/G113))/60)</f>
        <v>48.464166666666664</v>
      </c>
      <c r="K113" s="4">
        <v>4650</v>
      </c>
      <c r="L113" s="4">
        <v>45</v>
      </c>
      <c r="M113" s="50">
        <v>7.95</v>
      </c>
      <c r="P113" s="4">
        <v>0</v>
      </c>
      <c r="Q113" s="4">
        <v>0</v>
      </c>
      <c r="R113" s="4">
        <v>0</v>
      </c>
      <c r="S113" s="4">
        <v>0</v>
      </c>
      <c r="T113" s="51">
        <v>0</v>
      </c>
      <c r="U113" s="51">
        <v>0</v>
      </c>
      <c r="V113" s="51">
        <v>0</v>
      </c>
      <c r="W113" s="63">
        <f t="shared" si="6"/>
        <v>0</v>
      </c>
      <c r="X113" s="4">
        <f t="shared" si="7"/>
        <v>0</v>
      </c>
      <c r="Y113" s="4">
        <f t="shared" si="8"/>
        <v>0</v>
      </c>
      <c r="Z113" s="4">
        <f t="shared" si="9"/>
        <v>0</v>
      </c>
      <c r="AA113" s="4">
        <f t="shared" si="10"/>
        <v>0</v>
      </c>
    </row>
    <row r="114" spans="1:27">
      <c r="A114" s="46">
        <v>42373</v>
      </c>
      <c r="B114" s="47">
        <v>0.39583333333333331</v>
      </c>
      <c r="C114" s="46">
        <v>42374</v>
      </c>
      <c r="D114" s="47">
        <v>0.41666666666666669</v>
      </c>
      <c r="E114" s="48">
        <v>24.5</v>
      </c>
      <c r="F114" s="49">
        <v>1.5</v>
      </c>
      <c r="G114" s="49">
        <v>2.4</v>
      </c>
      <c r="H114" s="4">
        <v>2074</v>
      </c>
      <c r="I114" s="4">
        <v>3641</v>
      </c>
      <c r="J114" s="48">
        <f t="shared" si="12"/>
        <v>48.329166666666666</v>
      </c>
      <c r="K114" s="4">
        <v>4670</v>
      </c>
      <c r="L114" s="4">
        <v>46</v>
      </c>
      <c r="M114" s="50">
        <v>8.01</v>
      </c>
      <c r="N114" s="4">
        <v>37</v>
      </c>
      <c r="O114" s="4">
        <v>37</v>
      </c>
      <c r="P114" s="4">
        <v>1</v>
      </c>
      <c r="Q114" s="4">
        <v>0</v>
      </c>
      <c r="R114" s="4">
        <v>0</v>
      </c>
      <c r="S114" s="4">
        <v>0</v>
      </c>
      <c r="T114" s="51">
        <v>1</v>
      </c>
      <c r="U114" s="51">
        <v>0</v>
      </c>
      <c r="V114" s="51">
        <v>0</v>
      </c>
      <c r="W114" s="63">
        <f t="shared" si="6"/>
        <v>2.0691438917148031E-2</v>
      </c>
      <c r="X114" s="4">
        <f t="shared" si="7"/>
        <v>0</v>
      </c>
      <c r="Y114" s="4">
        <f t="shared" si="8"/>
        <v>0</v>
      </c>
      <c r="Z114" s="4">
        <f t="shared" si="9"/>
        <v>0</v>
      </c>
      <c r="AA114" s="4">
        <f t="shared" si="10"/>
        <v>0</v>
      </c>
    </row>
    <row r="115" spans="1:27">
      <c r="A115" s="46">
        <v>42374</v>
      </c>
      <c r="B115" s="47">
        <v>0.41666666666666669</v>
      </c>
      <c r="C115" s="46">
        <v>42375</v>
      </c>
      <c r="D115" s="47">
        <v>0.38541666666666669</v>
      </c>
      <c r="E115" s="48">
        <v>23.25</v>
      </c>
      <c r="F115" s="49">
        <v>1.5</v>
      </c>
      <c r="G115" s="49">
        <v>2.2999999999999998</v>
      </c>
      <c r="H115" s="4">
        <v>2128</v>
      </c>
      <c r="I115" s="4">
        <v>1457</v>
      </c>
      <c r="J115" s="48">
        <f t="shared" si="12"/>
        <v>34.202415458937203</v>
      </c>
      <c r="K115" s="4">
        <v>5710</v>
      </c>
      <c r="L115" s="4">
        <v>46</v>
      </c>
      <c r="M115" s="50">
        <v>8.09</v>
      </c>
      <c r="P115" s="4">
        <v>0</v>
      </c>
      <c r="Q115" s="4">
        <v>0</v>
      </c>
      <c r="R115" s="4">
        <v>0</v>
      </c>
      <c r="S115" s="4">
        <v>0</v>
      </c>
      <c r="T115" s="51">
        <v>0</v>
      </c>
      <c r="U115" s="51">
        <v>0</v>
      </c>
      <c r="V115" s="51">
        <v>0</v>
      </c>
      <c r="W115" s="4">
        <f t="shared" si="6"/>
        <v>0</v>
      </c>
      <c r="X115" s="4">
        <f t="shared" si="7"/>
        <v>0</v>
      </c>
      <c r="Y115" s="4">
        <f t="shared" si="8"/>
        <v>0</v>
      </c>
      <c r="Z115" s="4">
        <f t="shared" si="9"/>
        <v>0</v>
      </c>
      <c r="AA115" s="4">
        <f t="shared" si="10"/>
        <v>0</v>
      </c>
    </row>
    <row r="116" spans="1:27">
      <c r="A116" s="46">
        <v>42375</v>
      </c>
      <c r="B116" s="47">
        <v>0.38541666666666669</v>
      </c>
      <c r="C116" s="46">
        <v>42376</v>
      </c>
      <c r="D116" s="47">
        <v>0.39583333333333331</v>
      </c>
      <c r="E116" s="48">
        <v>24.25</v>
      </c>
      <c r="F116" s="49">
        <v>1.2</v>
      </c>
      <c r="G116" s="49">
        <v>2.2999999999999998</v>
      </c>
      <c r="H116" s="4">
        <v>2326</v>
      </c>
      <c r="I116" s="4">
        <v>2368</v>
      </c>
      <c r="J116" s="48">
        <f t="shared" si="12"/>
        <v>49.464975845410635</v>
      </c>
      <c r="K116" s="4">
        <v>19300</v>
      </c>
      <c r="L116" s="4">
        <v>48</v>
      </c>
      <c r="M116" s="50">
        <v>79.599999999999994</v>
      </c>
      <c r="N116" s="4">
        <v>37</v>
      </c>
      <c r="O116" s="4">
        <v>81</v>
      </c>
      <c r="P116" s="4">
        <v>7</v>
      </c>
      <c r="Q116" s="4">
        <v>0</v>
      </c>
      <c r="R116" s="4">
        <v>1</v>
      </c>
      <c r="S116" s="4">
        <v>0</v>
      </c>
      <c r="T116" s="51">
        <v>0</v>
      </c>
      <c r="U116" s="51">
        <v>0</v>
      </c>
      <c r="V116" s="51">
        <v>0</v>
      </c>
      <c r="W116" s="4">
        <f t="shared" si="6"/>
        <v>0.14151427106477524</v>
      </c>
      <c r="X116" s="4">
        <f t="shared" si="7"/>
        <v>0</v>
      </c>
      <c r="Y116" s="4">
        <f t="shared" si="8"/>
        <v>2.0216324437825034E-2</v>
      </c>
      <c r="Z116" s="4">
        <f t="shared" si="9"/>
        <v>0</v>
      </c>
      <c r="AA116" s="4">
        <f t="shared" si="10"/>
        <v>0</v>
      </c>
    </row>
    <row r="117" spans="1:27">
      <c r="A117" s="46">
        <v>42377</v>
      </c>
      <c r="B117" s="47">
        <v>0.35416666666666669</v>
      </c>
      <c r="C117" s="46">
        <v>42377</v>
      </c>
      <c r="D117" s="47">
        <v>0.64583333333333337</v>
      </c>
      <c r="E117" s="48">
        <v>7</v>
      </c>
      <c r="F117" s="49">
        <v>2.1</v>
      </c>
      <c r="G117" s="49">
        <v>2.2000000000000002</v>
      </c>
      <c r="H117" s="4">
        <v>886</v>
      </c>
      <c r="I117" s="4">
        <v>917</v>
      </c>
      <c r="J117" s="48">
        <f t="shared" si="12"/>
        <v>13.978715728715729</v>
      </c>
      <c r="K117" s="4">
        <v>21800</v>
      </c>
      <c r="L117" s="4">
        <v>47</v>
      </c>
      <c r="M117" s="50">
        <v>116.5</v>
      </c>
      <c r="N117" s="4">
        <v>33</v>
      </c>
      <c r="O117" s="4">
        <v>45</v>
      </c>
      <c r="P117" s="4">
        <f>355+441</f>
        <v>796</v>
      </c>
      <c r="Q117" s="4">
        <f>3+1</f>
        <v>4</v>
      </c>
      <c r="R117" s="4">
        <v>0</v>
      </c>
      <c r="S117" s="4">
        <v>0</v>
      </c>
      <c r="T117" s="51">
        <v>0</v>
      </c>
      <c r="U117" s="51">
        <v>0</v>
      </c>
      <c r="V117" s="51">
        <v>0</v>
      </c>
      <c r="W117" s="4">
        <f t="shared" si="6"/>
        <v>56.943714676507781</v>
      </c>
      <c r="X117" s="4">
        <f t="shared" si="7"/>
        <v>0.28614931998245113</v>
      </c>
      <c r="Y117" s="4">
        <f t="shared" si="8"/>
        <v>0</v>
      </c>
      <c r="Z117" s="4">
        <f t="shared" si="9"/>
        <v>0</v>
      </c>
      <c r="AA117" s="4">
        <f t="shared" si="10"/>
        <v>0</v>
      </c>
    </row>
    <row r="118" spans="1:27">
      <c r="A118" s="46">
        <v>42378</v>
      </c>
      <c r="B118" s="47">
        <v>0.34375</v>
      </c>
      <c r="C118" s="46">
        <v>42378</v>
      </c>
      <c r="D118" s="47">
        <v>0.60416666666666663</v>
      </c>
      <c r="E118" s="48">
        <v>6.25</v>
      </c>
      <c r="F118" s="49">
        <v>2.2000000000000002</v>
      </c>
      <c r="G118" s="49">
        <v>2.7</v>
      </c>
      <c r="H118" s="4">
        <v>846</v>
      </c>
      <c r="I118" s="4">
        <v>847</v>
      </c>
      <c r="J118" s="48">
        <f t="shared" si="12"/>
        <v>11.637485970819304</v>
      </c>
      <c r="K118" s="4">
        <v>16400</v>
      </c>
      <c r="L118" s="4">
        <v>47</v>
      </c>
      <c r="M118" s="50">
        <v>82.9</v>
      </c>
      <c r="N118" s="4">
        <v>34</v>
      </c>
      <c r="O118" s="4">
        <v>51</v>
      </c>
      <c r="P118" s="4">
        <f>253+243</f>
        <v>496</v>
      </c>
      <c r="Q118" s="4">
        <f>2+0</f>
        <v>2</v>
      </c>
      <c r="R118" s="4">
        <v>0</v>
      </c>
      <c r="S118" s="4">
        <v>0</v>
      </c>
      <c r="T118" s="51">
        <v>0</v>
      </c>
      <c r="U118" s="51">
        <v>0</v>
      </c>
      <c r="V118" s="51">
        <v>0</v>
      </c>
      <c r="W118" s="4">
        <f t="shared" si="6"/>
        <v>42.620889188928537</v>
      </c>
      <c r="X118" s="4">
        <f t="shared" si="7"/>
        <v>0.1718584241489054</v>
      </c>
      <c r="Y118" s="4">
        <f t="shared" si="8"/>
        <v>0</v>
      </c>
      <c r="Z118" s="4">
        <f t="shared" si="9"/>
        <v>0</v>
      </c>
      <c r="AA118" s="4">
        <f t="shared" si="10"/>
        <v>0</v>
      </c>
    </row>
    <row r="119" spans="1:27">
      <c r="A119" s="46">
        <v>42378</v>
      </c>
      <c r="B119" s="47">
        <v>0.60416666666666663</v>
      </c>
      <c r="C119" s="46">
        <v>42379</v>
      </c>
      <c r="D119" s="47">
        <v>0.47916666666666669</v>
      </c>
      <c r="E119" s="48">
        <v>21</v>
      </c>
      <c r="F119" s="49">
        <v>2.1</v>
      </c>
      <c r="G119" s="49">
        <v>2.2999999999999998</v>
      </c>
      <c r="H119" s="4">
        <v>2730</v>
      </c>
      <c r="I119" s="4">
        <v>1318</v>
      </c>
      <c r="J119" s="48">
        <f t="shared" si="12"/>
        <v>31.217391304347824</v>
      </c>
      <c r="K119" s="4">
        <v>11600</v>
      </c>
      <c r="L119" s="4">
        <v>48</v>
      </c>
      <c r="M119" s="50">
        <v>78.2</v>
      </c>
      <c r="N119" s="4">
        <v>33</v>
      </c>
      <c r="O119" s="4">
        <v>93</v>
      </c>
      <c r="P119" s="4">
        <f>987+177</f>
        <v>1164</v>
      </c>
      <c r="Q119" s="4">
        <f>7+2</f>
        <v>9</v>
      </c>
      <c r="R119" s="4">
        <f>3+0</f>
        <v>3</v>
      </c>
      <c r="S119" s="4">
        <v>0</v>
      </c>
      <c r="T119" s="51">
        <v>0</v>
      </c>
      <c r="U119" s="51">
        <v>0</v>
      </c>
      <c r="V119" s="51">
        <v>0</v>
      </c>
      <c r="W119" s="4">
        <f t="shared" si="6"/>
        <v>37.286908077994433</v>
      </c>
      <c r="X119" s="4">
        <f t="shared" si="7"/>
        <v>0.28830083565459613</v>
      </c>
      <c r="Y119" s="4">
        <f t="shared" si="8"/>
        <v>9.610027855153204E-2</v>
      </c>
      <c r="Z119" s="4">
        <f t="shared" si="9"/>
        <v>0</v>
      </c>
      <c r="AA119" s="4">
        <f t="shared" si="10"/>
        <v>0</v>
      </c>
    </row>
    <row r="120" spans="1:27">
      <c r="A120" s="46">
        <v>42379</v>
      </c>
      <c r="B120" s="47">
        <v>0.47916666666666669</v>
      </c>
      <c r="C120" s="46">
        <v>42380</v>
      </c>
      <c r="D120" s="47">
        <v>0.4375</v>
      </c>
      <c r="E120" s="48">
        <v>23</v>
      </c>
      <c r="F120" s="49">
        <v>2.2999999999999998</v>
      </c>
      <c r="G120" s="49">
        <v>2.5</v>
      </c>
      <c r="H120" s="4">
        <v>2690</v>
      </c>
      <c r="I120" s="4">
        <v>2943</v>
      </c>
      <c r="J120" s="48">
        <f t="shared" si="12"/>
        <v>39.112753623188411</v>
      </c>
      <c r="K120" s="4">
        <v>12100</v>
      </c>
      <c r="L120" s="4">
        <v>48</v>
      </c>
      <c r="M120" s="50">
        <v>32.5</v>
      </c>
      <c r="N120" s="4">
        <v>33</v>
      </c>
      <c r="O120" s="4">
        <v>88</v>
      </c>
      <c r="P120" s="4">
        <f>509+478</f>
        <v>987</v>
      </c>
      <c r="Q120" s="4">
        <f>4+3</f>
        <v>7</v>
      </c>
      <c r="R120" s="4">
        <f>0+1</f>
        <v>1</v>
      </c>
      <c r="S120" s="4">
        <v>0</v>
      </c>
      <c r="T120" s="51">
        <v>1</v>
      </c>
      <c r="U120" s="51">
        <v>0</v>
      </c>
      <c r="V120" s="51">
        <v>2</v>
      </c>
      <c r="W120" s="4">
        <f t="shared" si="6"/>
        <v>25.234735695388284</v>
      </c>
      <c r="X120" s="4">
        <f t="shared" si="7"/>
        <v>0.17896975670488144</v>
      </c>
      <c r="Y120" s="4">
        <f t="shared" si="8"/>
        <v>2.5567108100697348E-2</v>
      </c>
      <c r="Z120" s="4">
        <f t="shared" si="9"/>
        <v>0</v>
      </c>
      <c r="AA120" s="4">
        <f t="shared" si="10"/>
        <v>0</v>
      </c>
    </row>
    <row r="121" spans="1:27">
      <c r="A121" s="46">
        <v>42380</v>
      </c>
      <c r="B121" s="47">
        <v>0.4375</v>
      </c>
      <c r="C121" s="46">
        <v>42381</v>
      </c>
      <c r="D121" s="47">
        <v>0.45833333333333331</v>
      </c>
      <c r="E121" s="48">
        <v>24.5</v>
      </c>
      <c r="F121" s="49">
        <v>2.1</v>
      </c>
      <c r="G121" s="49">
        <v>2.5</v>
      </c>
      <c r="H121" s="4">
        <v>2200</v>
      </c>
      <c r="I121" s="4">
        <v>1888</v>
      </c>
      <c r="J121" s="48">
        <f t="shared" si="12"/>
        <v>30.046984126984125</v>
      </c>
      <c r="K121" s="4">
        <v>11600</v>
      </c>
      <c r="L121" s="4">
        <v>49</v>
      </c>
      <c r="M121" s="50">
        <v>27.2</v>
      </c>
      <c r="N121" s="4">
        <v>35</v>
      </c>
      <c r="O121" s="4">
        <v>89</v>
      </c>
      <c r="P121" s="4">
        <f>133+198</f>
        <v>331</v>
      </c>
      <c r="Q121" s="4">
        <f>1+3</f>
        <v>4</v>
      </c>
      <c r="R121" s="4">
        <v>1</v>
      </c>
      <c r="S121" s="4">
        <v>0</v>
      </c>
      <c r="T121" s="51">
        <v>0</v>
      </c>
      <c r="U121" s="51">
        <v>0</v>
      </c>
      <c r="V121" s="51">
        <v>0</v>
      </c>
      <c r="W121" s="4">
        <f t="shared" si="6"/>
        <v>11.016080635618291</v>
      </c>
      <c r="X121" s="4">
        <f t="shared" si="7"/>
        <v>0.13312484151804582</v>
      </c>
      <c r="Y121" s="4">
        <f t="shared" si="8"/>
        <v>3.3281210379511456E-2</v>
      </c>
      <c r="Z121" s="4">
        <f t="shared" si="9"/>
        <v>0</v>
      </c>
      <c r="AA121" s="4">
        <f t="shared" si="10"/>
        <v>0</v>
      </c>
    </row>
    <row r="122" spans="1:27">
      <c r="A122" s="46">
        <v>42381</v>
      </c>
      <c r="B122" s="47">
        <v>0.45833333333333331</v>
      </c>
      <c r="C122" s="46">
        <v>42382</v>
      </c>
      <c r="D122" s="47">
        <v>0.42708333333333331</v>
      </c>
      <c r="E122" s="48">
        <v>23.25</v>
      </c>
      <c r="F122" s="49">
        <v>2.6</v>
      </c>
      <c r="G122" s="49">
        <v>3</v>
      </c>
      <c r="H122" s="4">
        <v>3611</v>
      </c>
      <c r="I122" s="4">
        <v>4128</v>
      </c>
      <c r="J122" s="48">
        <f t="shared" si="12"/>
        <v>46.080769230769228</v>
      </c>
      <c r="K122" s="4">
        <v>9680</v>
      </c>
      <c r="L122" s="4">
        <v>48</v>
      </c>
      <c r="M122" s="50">
        <v>27.7</v>
      </c>
      <c r="N122" s="4">
        <v>34</v>
      </c>
      <c r="O122" s="4">
        <v>79</v>
      </c>
      <c r="P122" s="4">
        <f>75+140</f>
        <v>215</v>
      </c>
      <c r="Q122" s="4">
        <f>4+4</f>
        <v>8</v>
      </c>
      <c r="R122" s="4">
        <f>3+0</f>
        <v>3</v>
      </c>
      <c r="S122" s="4">
        <v>0</v>
      </c>
      <c r="T122" s="51">
        <v>0</v>
      </c>
      <c r="U122" s="51">
        <v>0</v>
      </c>
      <c r="V122" s="51">
        <v>1</v>
      </c>
      <c r="W122" s="4">
        <f t="shared" si="6"/>
        <v>4.665720724480428</v>
      </c>
      <c r="X122" s="4">
        <f t="shared" si="7"/>
        <v>0.1736082130039229</v>
      </c>
      <c r="Y122" s="4">
        <f t="shared" si="8"/>
        <v>6.5103079876471084E-2</v>
      </c>
      <c r="Z122" s="4">
        <f t="shared" si="9"/>
        <v>0</v>
      </c>
      <c r="AA122" s="4">
        <f t="shared" si="10"/>
        <v>0</v>
      </c>
    </row>
    <row r="123" spans="1:27">
      <c r="A123" s="46">
        <v>42382</v>
      </c>
      <c r="B123" s="47">
        <v>0.42708333333333331</v>
      </c>
      <c r="C123" s="46">
        <v>42383</v>
      </c>
      <c r="D123" s="47">
        <v>0.4375</v>
      </c>
      <c r="E123" s="48">
        <v>24.25</v>
      </c>
      <c r="F123" s="49">
        <v>2.6</v>
      </c>
      <c r="G123" s="49">
        <v>3.1</v>
      </c>
      <c r="H123" s="4">
        <v>3760</v>
      </c>
      <c r="I123" s="4">
        <v>4210</v>
      </c>
      <c r="J123" s="48">
        <f t="shared" si="12"/>
        <v>46.736972704714638</v>
      </c>
      <c r="K123" s="65">
        <v>10100</v>
      </c>
      <c r="L123" s="4">
        <v>48</v>
      </c>
      <c r="M123" s="50">
        <v>29.6</v>
      </c>
      <c r="N123" s="4">
        <v>33</v>
      </c>
      <c r="O123" s="4">
        <v>79</v>
      </c>
      <c r="P123" s="4">
        <f>112+136</f>
        <v>248</v>
      </c>
      <c r="Q123" s="4">
        <f>1+2</f>
        <v>3</v>
      </c>
      <c r="R123" s="4">
        <f>1+1</f>
        <v>2</v>
      </c>
      <c r="S123" s="4">
        <v>0</v>
      </c>
      <c r="T123" s="51">
        <v>0</v>
      </c>
      <c r="U123" s="51">
        <v>0</v>
      </c>
      <c r="V123" s="51">
        <f>3+6</f>
        <v>9</v>
      </c>
      <c r="W123" s="4">
        <f t="shared" si="6"/>
        <v>5.30629147863021</v>
      </c>
      <c r="X123" s="4">
        <f t="shared" si="7"/>
        <v>6.4189009822139639E-2</v>
      </c>
      <c r="Y123" s="4">
        <f t="shared" si="8"/>
        <v>4.2792673214759755E-2</v>
      </c>
      <c r="Z123" s="4">
        <f t="shared" si="9"/>
        <v>0</v>
      </c>
      <c r="AA123" s="4">
        <f t="shared" si="10"/>
        <v>0</v>
      </c>
    </row>
    <row r="124" spans="1:27">
      <c r="A124" s="46">
        <v>42383</v>
      </c>
      <c r="B124" s="47">
        <v>0.4375</v>
      </c>
      <c r="C124" s="46">
        <v>42384</v>
      </c>
      <c r="D124" s="47">
        <v>0.4375</v>
      </c>
      <c r="E124" s="48">
        <v>24</v>
      </c>
      <c r="F124" s="49">
        <v>3</v>
      </c>
      <c r="G124" s="49">
        <v>2.9</v>
      </c>
      <c r="H124" s="4">
        <v>3694</v>
      </c>
      <c r="I124" s="4">
        <v>3712</v>
      </c>
      <c r="J124" s="48">
        <f t="shared" si="12"/>
        <v>41.855555555555547</v>
      </c>
      <c r="K124" s="4">
        <v>18100</v>
      </c>
      <c r="L124" s="4">
        <v>49</v>
      </c>
      <c r="M124" s="50">
        <v>31.35</v>
      </c>
      <c r="N124" s="4">
        <v>33</v>
      </c>
      <c r="O124" s="4">
        <v>44</v>
      </c>
      <c r="P124" s="4">
        <f>121+125</f>
        <v>246</v>
      </c>
      <c r="Q124" s="4">
        <v>0</v>
      </c>
      <c r="R124" s="4">
        <v>0</v>
      </c>
      <c r="S124" s="4">
        <v>0</v>
      </c>
      <c r="T124" s="51">
        <v>0</v>
      </c>
      <c r="U124" s="51">
        <v>0</v>
      </c>
      <c r="V124" s="51">
        <v>1</v>
      </c>
      <c r="W124" s="4">
        <f t="shared" si="6"/>
        <v>5.877355986195913</v>
      </c>
      <c r="X124" s="4">
        <f t="shared" si="7"/>
        <v>0</v>
      </c>
      <c r="Y124" s="4">
        <f t="shared" si="8"/>
        <v>0</v>
      </c>
      <c r="Z124" s="4">
        <f t="shared" si="9"/>
        <v>0</v>
      </c>
      <c r="AA124" s="4">
        <f t="shared" si="10"/>
        <v>0</v>
      </c>
    </row>
    <row r="125" spans="1:27">
      <c r="A125" s="46">
        <v>42384</v>
      </c>
      <c r="B125" s="47">
        <v>0.4375</v>
      </c>
      <c r="C125" s="46">
        <v>42385</v>
      </c>
      <c r="D125" s="4">
        <v>9.4499999999999993</v>
      </c>
      <c r="E125" s="48">
        <v>23.25</v>
      </c>
      <c r="F125" s="49">
        <v>2.7</v>
      </c>
      <c r="G125" s="49">
        <v>2.7</v>
      </c>
      <c r="H125" s="4">
        <v>3196</v>
      </c>
      <c r="I125" s="4">
        <v>3026</v>
      </c>
      <c r="J125" s="48">
        <f t="shared" si="12"/>
        <v>38.407407407407405</v>
      </c>
      <c r="K125" s="4">
        <v>20800</v>
      </c>
      <c r="L125" s="4">
        <v>49</v>
      </c>
      <c r="M125" s="50">
        <v>95.7</v>
      </c>
      <c r="N125" s="4">
        <v>34</v>
      </c>
      <c r="O125" s="4">
        <v>115</v>
      </c>
      <c r="P125" s="4">
        <f>733+861</f>
        <v>1594</v>
      </c>
      <c r="Q125" s="4">
        <f>2+3</f>
        <v>5</v>
      </c>
      <c r="R125" s="4">
        <f>3+3</f>
        <v>6</v>
      </c>
      <c r="S125" s="4">
        <v>0</v>
      </c>
      <c r="T125" s="51">
        <v>16</v>
      </c>
      <c r="U125" s="51">
        <v>0</v>
      </c>
      <c r="V125" s="51">
        <v>4</v>
      </c>
      <c r="W125" s="4">
        <f t="shared" si="6"/>
        <v>41.502410800385732</v>
      </c>
      <c r="X125" s="4">
        <f t="shared" si="7"/>
        <v>0.13018322082931535</v>
      </c>
      <c r="Y125" s="4">
        <f t="shared" si="8"/>
        <v>0.1562198649951784</v>
      </c>
      <c r="Z125" s="4">
        <f t="shared" si="9"/>
        <v>0</v>
      </c>
      <c r="AA125" s="4">
        <f t="shared" si="10"/>
        <v>0</v>
      </c>
    </row>
    <row r="126" spans="1:27">
      <c r="A126" s="46">
        <v>42385</v>
      </c>
      <c r="B126" s="4">
        <v>9.4499999999999993</v>
      </c>
      <c r="C126" s="46">
        <v>42385</v>
      </c>
      <c r="D126" s="47">
        <v>0.58333333333333337</v>
      </c>
      <c r="E126" s="48">
        <v>4.25</v>
      </c>
      <c r="F126" s="49">
        <v>2.4</v>
      </c>
      <c r="G126" s="49">
        <v>2.7</v>
      </c>
      <c r="H126" s="4">
        <v>601</v>
      </c>
      <c r="I126" s="4">
        <v>338</v>
      </c>
      <c r="J126" s="48">
        <f t="shared" si="12"/>
        <v>6.2600308641975309</v>
      </c>
      <c r="K126" s="4">
        <v>21800</v>
      </c>
      <c r="L126" s="4">
        <v>49</v>
      </c>
      <c r="M126" s="50">
        <v>96.7</v>
      </c>
      <c r="N126" s="4">
        <v>33</v>
      </c>
      <c r="O126" s="4">
        <v>88</v>
      </c>
      <c r="P126" s="4">
        <f>241+207</f>
        <v>448</v>
      </c>
      <c r="Q126" s="4">
        <f>1+0</f>
        <v>1</v>
      </c>
      <c r="R126" s="4">
        <f>1+0</f>
        <v>1</v>
      </c>
      <c r="S126" s="4">
        <v>0</v>
      </c>
      <c r="T126" s="51">
        <f>2+2</f>
        <v>4</v>
      </c>
      <c r="U126" s="51">
        <v>0</v>
      </c>
      <c r="V126" s="51">
        <f>1+0</f>
        <v>1</v>
      </c>
      <c r="W126" s="4">
        <f t="shared" si="6"/>
        <v>71.56514236410699</v>
      </c>
      <c r="X126" s="4">
        <f t="shared" si="7"/>
        <v>0.1597436213484531</v>
      </c>
      <c r="Y126" s="4">
        <f t="shared" si="8"/>
        <v>0.1597436213484531</v>
      </c>
      <c r="Z126" s="4">
        <f t="shared" si="9"/>
        <v>0</v>
      </c>
      <c r="AA126" s="4">
        <f t="shared" si="10"/>
        <v>0</v>
      </c>
    </row>
    <row r="127" spans="1:27">
      <c r="A127" s="46">
        <v>42386</v>
      </c>
      <c r="B127" s="47">
        <v>0.32291666666666669</v>
      </c>
      <c r="C127" s="46">
        <v>42386</v>
      </c>
      <c r="D127" s="47">
        <v>0.63541666666666663</v>
      </c>
      <c r="E127" s="48">
        <v>7.5</v>
      </c>
      <c r="F127" s="49">
        <v>2.5</v>
      </c>
      <c r="G127" s="49">
        <v>2.8</v>
      </c>
      <c r="H127" s="4">
        <v>1056</v>
      </c>
      <c r="I127" s="4">
        <v>1172</v>
      </c>
      <c r="J127" s="48">
        <f t="shared" si="12"/>
        <v>14.016190476190475</v>
      </c>
      <c r="K127" s="4">
        <v>21400</v>
      </c>
      <c r="L127" s="4">
        <v>48</v>
      </c>
      <c r="M127" s="50">
        <v>151.6</v>
      </c>
      <c r="N127" s="4">
        <v>33</v>
      </c>
      <c r="O127" s="4">
        <v>57</v>
      </c>
      <c r="P127" s="4">
        <f>667+693</f>
        <v>1360</v>
      </c>
      <c r="Q127" s="4">
        <f>1+3</f>
        <v>4</v>
      </c>
      <c r="R127" s="4">
        <v>0</v>
      </c>
      <c r="S127" s="4">
        <v>0</v>
      </c>
      <c r="T127" s="51">
        <v>0</v>
      </c>
      <c r="U127" s="51">
        <v>1</v>
      </c>
      <c r="V127" s="51">
        <v>3</v>
      </c>
      <c r="W127" s="4">
        <f t="shared" si="6"/>
        <v>97.030644832506624</v>
      </c>
      <c r="X127" s="4">
        <f t="shared" si="7"/>
        <v>0.28538424950737246</v>
      </c>
      <c r="Y127" s="4">
        <f t="shared" si="8"/>
        <v>0</v>
      </c>
      <c r="Z127" s="4">
        <f t="shared" si="9"/>
        <v>0</v>
      </c>
      <c r="AA127" s="4">
        <f t="shared" si="10"/>
        <v>7.1346062376843114E-2</v>
      </c>
    </row>
    <row r="128" spans="1:27">
      <c r="A128" s="46">
        <v>42387</v>
      </c>
      <c r="B128" s="47">
        <v>0.33333333333333331</v>
      </c>
      <c r="C128" s="46">
        <v>42387</v>
      </c>
      <c r="D128" s="47">
        <v>0.625</v>
      </c>
      <c r="E128" s="48">
        <v>7</v>
      </c>
      <c r="F128" s="49">
        <v>2.6</v>
      </c>
      <c r="G128" s="49">
        <v>3.4</v>
      </c>
      <c r="H128" s="4">
        <v>994</v>
      </c>
      <c r="I128" s="4">
        <v>1203</v>
      </c>
      <c r="J128" s="48">
        <f t="shared" si="12"/>
        <v>12.268853695324283</v>
      </c>
      <c r="K128" s="4">
        <v>23800</v>
      </c>
      <c r="L128" s="4">
        <v>49</v>
      </c>
      <c r="M128" s="50">
        <v>89.1</v>
      </c>
      <c r="N128" s="4">
        <v>31</v>
      </c>
      <c r="O128" s="4">
        <v>110</v>
      </c>
      <c r="P128" s="4">
        <f>561+665</f>
        <v>1226</v>
      </c>
      <c r="Q128" s="4">
        <f>3+4</f>
        <v>7</v>
      </c>
      <c r="R128" s="4">
        <f>1+2</f>
        <v>3</v>
      </c>
      <c r="S128" s="4">
        <v>0</v>
      </c>
      <c r="T128" s="51">
        <v>1</v>
      </c>
      <c r="U128" s="51">
        <v>0</v>
      </c>
      <c r="V128" s="51">
        <f>2+2</f>
        <v>4</v>
      </c>
      <c r="W128" s="4">
        <f t="shared" si="6"/>
        <v>99.927836002089933</v>
      </c>
      <c r="X128" s="4">
        <f t="shared" si="7"/>
        <v>0.57055045025663087</v>
      </c>
      <c r="Y128" s="4">
        <f t="shared" si="8"/>
        <v>0.24452162153855611</v>
      </c>
      <c r="Z128" s="4">
        <f t="shared" si="9"/>
        <v>0</v>
      </c>
      <c r="AA128" s="4">
        <f t="shared" si="10"/>
        <v>0</v>
      </c>
    </row>
    <row r="129" spans="1:28">
      <c r="A129" s="53">
        <v>42388</v>
      </c>
      <c r="B129" s="54">
        <v>0.39583333333333331</v>
      </c>
      <c r="C129" s="53">
        <v>42388</v>
      </c>
      <c r="D129" s="54">
        <v>0.59375</v>
      </c>
      <c r="E129" s="55">
        <v>6.25</v>
      </c>
      <c r="F129" s="56">
        <v>1.8</v>
      </c>
      <c r="G129" s="56">
        <v>2.7</v>
      </c>
      <c r="H129" s="57">
        <v>607</v>
      </c>
      <c r="I129" s="57">
        <v>718</v>
      </c>
      <c r="J129" s="55">
        <f t="shared" si="12"/>
        <v>10.05246913580247</v>
      </c>
      <c r="K129" s="57">
        <v>26200</v>
      </c>
      <c r="L129" s="57">
        <v>52</v>
      </c>
      <c r="M129" s="58">
        <v>211.25</v>
      </c>
      <c r="N129" s="57">
        <v>35</v>
      </c>
      <c r="O129" s="57">
        <v>54</v>
      </c>
      <c r="P129" s="57">
        <f>257+226</f>
        <v>483</v>
      </c>
      <c r="Q129" s="57">
        <f>0+2</f>
        <v>2</v>
      </c>
      <c r="R129" s="57">
        <v>0</v>
      </c>
      <c r="S129" s="57">
        <v>0</v>
      </c>
      <c r="T129" s="59">
        <v>0</v>
      </c>
      <c r="U129" s="59">
        <v>0</v>
      </c>
      <c r="V129" s="59">
        <v>1</v>
      </c>
      <c r="W129" s="57">
        <f t="shared" si="6"/>
        <v>48.047896837580595</v>
      </c>
      <c r="X129" s="57">
        <f t="shared" si="7"/>
        <v>0.19895609456555111</v>
      </c>
      <c r="Y129" s="57">
        <f t="shared" si="8"/>
        <v>0</v>
      </c>
      <c r="Z129" s="57">
        <f t="shared" si="9"/>
        <v>0</v>
      </c>
      <c r="AA129" s="57">
        <f t="shared" si="10"/>
        <v>0</v>
      </c>
      <c r="AB129" s="57" t="s">
        <v>37</v>
      </c>
    </row>
    <row r="130" spans="1:28">
      <c r="A130" s="53">
        <v>42388</v>
      </c>
      <c r="B130" s="54">
        <v>0.59375</v>
      </c>
      <c r="C130" s="53">
        <v>42389</v>
      </c>
      <c r="D130" s="54">
        <v>0.40625</v>
      </c>
      <c r="E130" s="55">
        <v>19.5</v>
      </c>
      <c r="F130" s="56">
        <v>1.5</v>
      </c>
      <c r="G130" s="56">
        <v>2.1</v>
      </c>
      <c r="H130" s="57">
        <v>1404</v>
      </c>
      <c r="I130" s="57">
        <v>1912</v>
      </c>
      <c r="J130" s="55">
        <f t="shared" si="12"/>
        <v>30.774603174603172</v>
      </c>
      <c r="K130" s="57">
        <v>26300</v>
      </c>
      <c r="L130" s="57">
        <v>54</v>
      </c>
      <c r="M130" s="58">
        <v>467</v>
      </c>
      <c r="N130" s="57">
        <v>34</v>
      </c>
      <c r="O130" s="57">
        <v>89</v>
      </c>
      <c r="P130" s="57">
        <f>8+107</f>
        <v>115</v>
      </c>
      <c r="Q130" s="57">
        <f>0+2</f>
        <v>2</v>
      </c>
      <c r="R130" s="57">
        <f>0+1</f>
        <v>1</v>
      </c>
      <c r="S130" s="57">
        <v>0</v>
      </c>
      <c r="T130" s="59">
        <v>0</v>
      </c>
      <c r="U130" s="59">
        <v>0</v>
      </c>
      <c r="V130" s="59">
        <v>1</v>
      </c>
      <c r="W130" s="57">
        <f t="shared" si="6"/>
        <v>3.7368475345574588</v>
      </c>
      <c r="X130" s="57">
        <f t="shared" si="7"/>
        <v>6.4988652774912323E-2</v>
      </c>
      <c r="Y130" s="57">
        <f t="shared" si="8"/>
        <v>3.2494326387456161E-2</v>
      </c>
      <c r="Z130" s="57">
        <f t="shared" si="9"/>
        <v>0</v>
      </c>
      <c r="AA130" s="57">
        <f t="shared" si="10"/>
        <v>0</v>
      </c>
      <c r="AB130" s="57" t="s">
        <v>37</v>
      </c>
    </row>
    <row r="131" spans="1:28">
      <c r="A131" s="53">
        <v>42390</v>
      </c>
      <c r="B131" s="54">
        <v>0.41666666666666669</v>
      </c>
      <c r="C131" s="53">
        <v>42025</v>
      </c>
      <c r="D131" s="54">
        <v>0.57291666666666663</v>
      </c>
      <c r="E131" s="55">
        <v>3.75</v>
      </c>
      <c r="F131" s="56">
        <v>2.2999999999999998</v>
      </c>
      <c r="G131" s="56">
        <v>2.6</v>
      </c>
      <c r="H131" s="57">
        <v>555</v>
      </c>
      <c r="I131" s="57">
        <v>620</v>
      </c>
      <c r="J131" s="55">
        <f t="shared" si="12"/>
        <v>7.9960981047937576</v>
      </c>
      <c r="K131" s="57">
        <v>26400</v>
      </c>
      <c r="L131" s="57">
        <v>52</v>
      </c>
      <c r="M131" s="58">
        <v>333.5</v>
      </c>
      <c r="N131" s="57">
        <v>34</v>
      </c>
      <c r="O131" s="57">
        <v>50</v>
      </c>
      <c r="P131" s="57">
        <f>303+282</f>
        <v>585</v>
      </c>
      <c r="Q131" s="57">
        <f>0+1</f>
        <v>1</v>
      </c>
      <c r="R131" s="57">
        <v>0</v>
      </c>
      <c r="S131" s="57">
        <v>0</v>
      </c>
      <c r="T131" s="59">
        <v>0</v>
      </c>
      <c r="U131" s="59">
        <v>0</v>
      </c>
      <c r="V131" s="59">
        <v>0</v>
      </c>
      <c r="W131" s="57">
        <f t="shared" si="6"/>
        <v>73.160683164865802</v>
      </c>
      <c r="X131" s="57">
        <f t="shared" si="7"/>
        <v>0.12506099686301847</v>
      </c>
      <c r="Y131" s="57">
        <f t="shared" si="8"/>
        <v>0</v>
      </c>
      <c r="Z131" s="57">
        <f t="shared" si="9"/>
        <v>0</v>
      </c>
      <c r="AA131" s="57">
        <f t="shared" si="10"/>
        <v>0</v>
      </c>
      <c r="AB131" s="57" t="s">
        <v>37</v>
      </c>
    </row>
    <row r="132" spans="1:28">
      <c r="A132" s="53">
        <v>42025</v>
      </c>
      <c r="B132" s="54">
        <v>0.57291666666666663</v>
      </c>
      <c r="C132" s="53">
        <v>42391</v>
      </c>
      <c r="D132" s="54">
        <v>0.41666666666666669</v>
      </c>
      <c r="E132" s="55">
        <v>20.25</v>
      </c>
      <c r="F132" s="56">
        <v>2.1</v>
      </c>
      <c r="G132" s="56">
        <v>2.2000000000000002</v>
      </c>
      <c r="H132" s="57">
        <v>1865</v>
      </c>
      <c r="I132" s="57">
        <v>1610</v>
      </c>
      <c r="J132" s="55">
        <f t="shared" si="12"/>
        <v>26.998556998556996</v>
      </c>
      <c r="K132" s="57">
        <v>25200</v>
      </c>
      <c r="L132" s="57">
        <v>54</v>
      </c>
      <c r="M132" s="58">
        <v>261</v>
      </c>
      <c r="N132" s="57">
        <v>34</v>
      </c>
      <c r="O132" s="57">
        <v>41</v>
      </c>
      <c r="P132" s="57">
        <f>113+301</f>
        <v>414</v>
      </c>
      <c r="Q132" s="57">
        <v>0</v>
      </c>
      <c r="R132" s="57">
        <v>0</v>
      </c>
      <c r="S132" s="57">
        <v>0</v>
      </c>
      <c r="T132" s="59">
        <v>0</v>
      </c>
      <c r="U132" s="59">
        <v>0</v>
      </c>
      <c r="V132" s="59">
        <v>1</v>
      </c>
      <c r="W132" s="57">
        <f t="shared" si="6"/>
        <v>15.334152859433459</v>
      </c>
      <c r="X132" s="57">
        <f t="shared" si="7"/>
        <v>0</v>
      </c>
      <c r="Y132" s="57">
        <f t="shared" si="8"/>
        <v>0</v>
      </c>
      <c r="Z132" s="57">
        <f t="shared" si="9"/>
        <v>0</v>
      </c>
      <c r="AA132" s="57">
        <f t="shared" si="10"/>
        <v>0</v>
      </c>
      <c r="AB132" s="57" t="s">
        <v>37</v>
      </c>
    </row>
    <row r="133" spans="1:28">
      <c r="A133" s="53">
        <v>42391</v>
      </c>
      <c r="B133" s="54">
        <v>0.41666666666666669</v>
      </c>
      <c r="C133" s="53">
        <v>42391</v>
      </c>
      <c r="D133" s="54">
        <v>0.58333333333333337</v>
      </c>
      <c r="E133" s="55">
        <v>6</v>
      </c>
      <c r="F133" s="56">
        <v>2.7</v>
      </c>
      <c r="G133" s="56">
        <v>2.8</v>
      </c>
      <c r="H133" s="57">
        <v>534</v>
      </c>
      <c r="I133" s="57">
        <v>655</v>
      </c>
      <c r="J133" s="55">
        <f t="shared" si="12"/>
        <v>7.1951058201058204</v>
      </c>
      <c r="K133" s="57">
        <v>25000</v>
      </c>
      <c r="L133" s="57">
        <v>54</v>
      </c>
      <c r="M133" s="58">
        <v>221</v>
      </c>
      <c r="N133" s="57">
        <v>32</v>
      </c>
      <c r="O133" s="57">
        <v>44</v>
      </c>
      <c r="P133" s="57">
        <f>153+191</f>
        <v>344</v>
      </c>
      <c r="Q133" s="57">
        <v>0</v>
      </c>
      <c r="R133" s="57">
        <v>0</v>
      </c>
      <c r="S133" s="57">
        <v>0</v>
      </c>
      <c r="T133" s="59">
        <v>0</v>
      </c>
      <c r="U133" s="59">
        <v>0</v>
      </c>
      <c r="V133" s="59">
        <v>0</v>
      </c>
      <c r="W133" s="57">
        <f t="shared" si="6"/>
        <v>47.810276679841898</v>
      </c>
      <c r="X133" s="57">
        <f t="shared" si="7"/>
        <v>0</v>
      </c>
      <c r="Y133" s="57">
        <f t="shared" si="8"/>
        <v>0</v>
      </c>
      <c r="Z133" s="57">
        <f t="shared" si="9"/>
        <v>0</v>
      </c>
      <c r="AA133" s="57">
        <f t="shared" si="10"/>
        <v>0</v>
      </c>
      <c r="AB133" s="57" t="s">
        <v>37</v>
      </c>
    </row>
    <row r="134" spans="1:28">
      <c r="A134" s="53">
        <v>42391</v>
      </c>
      <c r="B134" s="54">
        <v>0.58333333333333337</v>
      </c>
      <c r="C134" s="53">
        <v>42392</v>
      </c>
      <c r="D134" s="54">
        <v>0.42708333333333331</v>
      </c>
      <c r="E134" s="55">
        <v>20.25</v>
      </c>
      <c r="F134" s="56">
        <v>0.9</v>
      </c>
      <c r="G134" s="56">
        <v>1</v>
      </c>
      <c r="H134" s="57">
        <v>1285</v>
      </c>
      <c r="I134" s="57">
        <v>1219</v>
      </c>
      <c r="J134" s="55">
        <f t="shared" si="12"/>
        <v>44.11296296296296</v>
      </c>
      <c r="K134" s="57">
        <v>23900</v>
      </c>
      <c r="L134" s="57">
        <v>51</v>
      </c>
      <c r="M134" s="58">
        <v>124.8</v>
      </c>
      <c r="N134" s="57">
        <v>32</v>
      </c>
      <c r="O134" s="57">
        <v>47</v>
      </c>
      <c r="P134" s="57">
        <f>98+147</f>
        <v>245</v>
      </c>
      <c r="Q134" s="57">
        <f>1+1</f>
        <v>2</v>
      </c>
      <c r="R134" s="57">
        <v>0</v>
      </c>
      <c r="S134" s="57">
        <v>0</v>
      </c>
      <c r="T134" s="59">
        <v>0</v>
      </c>
      <c r="U134" s="59">
        <v>0</v>
      </c>
      <c r="V134" s="59">
        <v>1</v>
      </c>
      <c r="W134" s="57">
        <f t="shared" si="6"/>
        <v>5.5539230091096092</v>
      </c>
      <c r="X134" s="57">
        <f t="shared" si="7"/>
        <v>4.5338147013139672E-2</v>
      </c>
      <c r="Y134" s="57">
        <f t="shared" si="8"/>
        <v>0</v>
      </c>
      <c r="Z134" s="57">
        <f t="shared" si="9"/>
        <v>0</v>
      </c>
      <c r="AA134" s="57">
        <f t="shared" si="10"/>
        <v>0</v>
      </c>
      <c r="AB134" s="57" t="s">
        <v>37</v>
      </c>
    </row>
    <row r="135" spans="1:28">
      <c r="A135" s="53">
        <v>42392</v>
      </c>
      <c r="B135" s="54">
        <v>0.42708333333333331</v>
      </c>
      <c r="C135" s="53">
        <v>42392</v>
      </c>
      <c r="D135" s="54">
        <v>0.57291666666666663</v>
      </c>
      <c r="E135" s="55">
        <v>3.2</v>
      </c>
      <c r="F135" s="56">
        <v>2.2999999999999998</v>
      </c>
      <c r="G135" s="56">
        <v>2.6</v>
      </c>
      <c r="H135" s="57">
        <v>382</v>
      </c>
      <c r="I135" s="57">
        <v>483</v>
      </c>
      <c r="J135" s="55">
        <f t="shared" si="12"/>
        <v>5.864269788182833</v>
      </c>
      <c r="K135" s="57">
        <v>23900</v>
      </c>
      <c r="L135" s="57">
        <v>52</v>
      </c>
      <c r="M135" s="58">
        <v>115.2</v>
      </c>
      <c r="N135" s="57">
        <v>34</v>
      </c>
      <c r="O135" s="57">
        <v>42</v>
      </c>
      <c r="P135" s="57">
        <f>22+41</f>
        <v>63</v>
      </c>
      <c r="Q135" s="57">
        <v>0</v>
      </c>
      <c r="R135" s="57">
        <v>0</v>
      </c>
      <c r="S135" s="57">
        <v>0</v>
      </c>
      <c r="T135" s="59">
        <v>0</v>
      </c>
      <c r="U135" s="59">
        <v>0</v>
      </c>
      <c r="V135" s="59">
        <v>0</v>
      </c>
      <c r="W135" s="57">
        <f t="shared" ref="W135:W198" si="13">P135/J135</f>
        <v>10.743025521600682</v>
      </c>
      <c r="X135" s="57">
        <f t="shared" ref="X135:X198" si="14">Q135/J135</f>
        <v>0</v>
      </c>
      <c r="Y135" s="57">
        <f t="shared" ref="Y135:Y198" si="15">R135/J135</f>
        <v>0</v>
      </c>
      <c r="Z135" s="57">
        <f t="shared" ref="Z135:Z198" si="16">S135/J135</f>
        <v>0</v>
      </c>
      <c r="AA135" s="57">
        <f t="shared" ref="AA135:AA198" si="17">U135/J135</f>
        <v>0</v>
      </c>
      <c r="AB135" s="57" t="s">
        <v>37</v>
      </c>
    </row>
    <row r="136" spans="1:28">
      <c r="A136" s="53">
        <v>42392</v>
      </c>
      <c r="B136" s="54">
        <v>0.57291666666666663</v>
      </c>
      <c r="C136" s="53">
        <v>42393</v>
      </c>
      <c r="D136" s="54">
        <v>0.39583333333333331</v>
      </c>
      <c r="E136" s="55">
        <v>19.75</v>
      </c>
      <c r="F136" s="56">
        <v>1.2</v>
      </c>
      <c r="G136" s="56">
        <v>0.9</v>
      </c>
      <c r="H136" s="57">
        <v>1412</v>
      </c>
      <c r="I136" s="57">
        <v>1532</v>
      </c>
      <c r="J136" s="55">
        <f t="shared" si="12"/>
        <v>47.981481481481481</v>
      </c>
      <c r="K136" s="57">
        <v>25100</v>
      </c>
      <c r="L136" s="57">
        <v>51</v>
      </c>
      <c r="M136" s="58">
        <v>89.9</v>
      </c>
      <c r="N136" s="57">
        <v>33</v>
      </c>
      <c r="O136" s="57">
        <v>42</v>
      </c>
      <c r="P136" s="57">
        <f>124+146</f>
        <v>270</v>
      </c>
      <c r="Q136" s="57">
        <v>0</v>
      </c>
      <c r="R136" s="57">
        <v>0</v>
      </c>
      <c r="S136" s="57">
        <v>0</v>
      </c>
      <c r="T136" s="59">
        <v>0</v>
      </c>
      <c r="U136" s="59">
        <v>0</v>
      </c>
      <c r="V136" s="59">
        <v>0</v>
      </c>
      <c r="W136" s="57">
        <f t="shared" si="13"/>
        <v>5.6271709764569664</v>
      </c>
      <c r="X136" s="57">
        <f t="shared" si="14"/>
        <v>0</v>
      </c>
      <c r="Y136" s="57">
        <f t="shared" si="15"/>
        <v>0</v>
      </c>
      <c r="Z136" s="57">
        <f t="shared" si="16"/>
        <v>0</v>
      </c>
      <c r="AA136" s="57">
        <f t="shared" si="17"/>
        <v>0</v>
      </c>
      <c r="AB136" s="57" t="s">
        <v>37</v>
      </c>
    </row>
    <row r="137" spans="1:28">
      <c r="A137" s="53">
        <v>42393</v>
      </c>
      <c r="B137" s="54">
        <v>0.39583333333333331</v>
      </c>
      <c r="C137" s="53">
        <v>42393</v>
      </c>
      <c r="D137" s="54">
        <v>0.59375</v>
      </c>
      <c r="E137" s="55">
        <v>4.75</v>
      </c>
      <c r="F137" s="56">
        <v>2.4</v>
      </c>
      <c r="G137" s="56">
        <v>3.1</v>
      </c>
      <c r="H137" s="57">
        <v>623</v>
      </c>
      <c r="I137" s="57">
        <v>700</v>
      </c>
      <c r="J137" s="55">
        <f t="shared" si="12"/>
        <v>8.0898297491039433</v>
      </c>
      <c r="K137" s="57">
        <v>25300</v>
      </c>
      <c r="L137" s="57">
        <v>52</v>
      </c>
      <c r="M137" s="58">
        <v>91</v>
      </c>
      <c r="N137" s="57">
        <v>33</v>
      </c>
      <c r="O137" s="57">
        <v>43</v>
      </c>
      <c r="P137" s="57">
        <f>72+91</f>
        <v>163</v>
      </c>
      <c r="Q137" s="57">
        <v>0</v>
      </c>
      <c r="R137" s="57">
        <v>0</v>
      </c>
      <c r="S137" s="57">
        <v>0</v>
      </c>
      <c r="T137" s="59">
        <v>0</v>
      </c>
      <c r="U137" s="59">
        <v>0</v>
      </c>
      <c r="V137" s="59">
        <v>0</v>
      </c>
      <c r="W137" s="57">
        <f t="shared" si="13"/>
        <v>20.148755295876828</v>
      </c>
      <c r="X137" s="57">
        <f t="shared" si="14"/>
        <v>0</v>
      </c>
      <c r="Y137" s="57">
        <f t="shared" si="15"/>
        <v>0</v>
      </c>
      <c r="Z137" s="57">
        <f t="shared" si="16"/>
        <v>0</v>
      </c>
      <c r="AA137" s="57">
        <f t="shared" si="17"/>
        <v>0</v>
      </c>
      <c r="AB137" s="57" t="s">
        <v>37</v>
      </c>
    </row>
    <row r="138" spans="1:28">
      <c r="A138" s="53">
        <v>42393</v>
      </c>
      <c r="B138" s="54">
        <v>0.59375</v>
      </c>
      <c r="C138" s="53">
        <v>42394</v>
      </c>
      <c r="D138" s="54">
        <v>0.53125</v>
      </c>
      <c r="E138" s="55">
        <v>22.5</v>
      </c>
      <c r="F138" s="56">
        <v>1.9</v>
      </c>
      <c r="G138" s="56">
        <v>1.9</v>
      </c>
      <c r="H138" s="57">
        <v>2617</v>
      </c>
      <c r="I138" s="57">
        <v>2593</v>
      </c>
      <c r="J138" s="55">
        <f t="shared" si="12"/>
        <v>45.701754385964918</v>
      </c>
      <c r="K138" s="57">
        <v>25500</v>
      </c>
      <c r="L138" s="57">
        <v>52</v>
      </c>
      <c r="M138" s="58">
        <v>101.4</v>
      </c>
      <c r="N138" s="57">
        <v>33</v>
      </c>
      <c r="O138" s="57">
        <v>92</v>
      </c>
      <c r="P138" s="57">
        <f>243+355</f>
        <v>598</v>
      </c>
      <c r="Q138" s="57">
        <f>0</f>
        <v>0</v>
      </c>
      <c r="R138" s="57">
        <f>0+2</f>
        <v>2</v>
      </c>
      <c r="S138" s="57">
        <v>0</v>
      </c>
      <c r="T138" s="59">
        <v>0</v>
      </c>
      <c r="U138" s="59">
        <v>0</v>
      </c>
      <c r="V138" s="59">
        <v>1</v>
      </c>
      <c r="W138" s="57">
        <f t="shared" si="13"/>
        <v>13.084836852207292</v>
      </c>
      <c r="X138" s="57">
        <f t="shared" si="14"/>
        <v>0</v>
      </c>
      <c r="Y138" s="57">
        <f t="shared" si="15"/>
        <v>4.3761996161228403E-2</v>
      </c>
      <c r="Z138" s="57">
        <f t="shared" si="16"/>
        <v>0</v>
      </c>
      <c r="AA138" s="57">
        <f t="shared" si="17"/>
        <v>0</v>
      </c>
      <c r="AB138" s="57" t="s">
        <v>37</v>
      </c>
    </row>
    <row r="139" spans="1:28">
      <c r="A139" s="53">
        <v>42394</v>
      </c>
      <c r="B139" s="54">
        <v>0.53125</v>
      </c>
      <c r="C139" s="53">
        <v>42395</v>
      </c>
      <c r="D139" s="54">
        <v>0.41666666666666669</v>
      </c>
      <c r="E139" s="55">
        <v>21.25</v>
      </c>
      <c r="F139" s="56">
        <v>1.8</v>
      </c>
      <c r="G139" s="56">
        <v>2.2999999999999998</v>
      </c>
      <c r="H139" s="57">
        <v>2152</v>
      </c>
      <c r="I139" s="57">
        <v>502</v>
      </c>
      <c r="J139" s="55">
        <f t="shared" si="12"/>
        <v>23.563607085346217</v>
      </c>
      <c r="K139" s="57">
        <v>24600</v>
      </c>
      <c r="L139" s="57">
        <v>51</v>
      </c>
      <c r="M139" s="58">
        <v>169</v>
      </c>
      <c r="N139" s="57">
        <v>32</v>
      </c>
      <c r="O139" s="57">
        <v>53</v>
      </c>
      <c r="P139" s="57">
        <f>127+277</f>
        <v>404</v>
      </c>
      <c r="Q139" s="57">
        <f>0+1</f>
        <v>1</v>
      </c>
      <c r="R139" s="57">
        <v>0</v>
      </c>
      <c r="S139" s="57">
        <v>0</v>
      </c>
      <c r="T139" s="59">
        <v>0</v>
      </c>
      <c r="U139" s="59">
        <v>0</v>
      </c>
      <c r="V139" s="59">
        <v>0</v>
      </c>
      <c r="W139" s="57">
        <f t="shared" si="13"/>
        <v>17.145083031504132</v>
      </c>
      <c r="X139" s="57">
        <f t="shared" si="14"/>
        <v>4.2438324335406272E-2</v>
      </c>
      <c r="Y139" s="57">
        <f t="shared" si="15"/>
        <v>0</v>
      </c>
      <c r="Z139" s="57">
        <f t="shared" si="16"/>
        <v>0</v>
      </c>
      <c r="AA139" s="57">
        <f t="shared" si="17"/>
        <v>0</v>
      </c>
      <c r="AB139" s="57" t="s">
        <v>37</v>
      </c>
    </row>
    <row r="140" spans="1:28">
      <c r="A140" s="53">
        <v>42395</v>
      </c>
      <c r="B140" s="54">
        <v>0.41666666666666669</v>
      </c>
      <c r="C140" s="53">
        <v>42395</v>
      </c>
      <c r="D140" s="54">
        <v>0.54166666666666663</v>
      </c>
      <c r="E140" s="55">
        <v>3</v>
      </c>
      <c r="F140" s="56">
        <v>2.7</v>
      </c>
      <c r="G140" s="56">
        <v>3.2</v>
      </c>
      <c r="H140" s="57">
        <v>499</v>
      </c>
      <c r="I140" s="57">
        <v>582</v>
      </c>
      <c r="J140" s="55">
        <f t="shared" si="12"/>
        <v>6.1114969135802459</v>
      </c>
      <c r="K140" s="57">
        <v>24400</v>
      </c>
      <c r="L140" s="57">
        <v>51</v>
      </c>
      <c r="M140" s="58">
        <v>169</v>
      </c>
      <c r="N140" s="57">
        <v>29</v>
      </c>
      <c r="O140" s="57">
        <v>46</v>
      </c>
      <c r="P140" s="57">
        <f>73+77</f>
        <v>150</v>
      </c>
      <c r="Q140" s="57">
        <v>0</v>
      </c>
      <c r="R140" s="57">
        <v>0</v>
      </c>
      <c r="S140" s="57">
        <v>0</v>
      </c>
      <c r="T140" s="59">
        <v>0</v>
      </c>
      <c r="U140" s="59">
        <v>0</v>
      </c>
      <c r="V140" s="59">
        <v>0</v>
      </c>
      <c r="W140" s="57">
        <f t="shared" si="13"/>
        <v>24.543905056498961</v>
      </c>
      <c r="X140" s="57">
        <f t="shared" si="14"/>
        <v>0</v>
      </c>
      <c r="Y140" s="57">
        <f t="shared" si="15"/>
        <v>0</v>
      </c>
      <c r="Z140" s="57">
        <f t="shared" si="16"/>
        <v>0</v>
      </c>
      <c r="AA140" s="57">
        <f t="shared" si="17"/>
        <v>0</v>
      </c>
      <c r="AB140" s="57" t="s">
        <v>37</v>
      </c>
    </row>
    <row r="141" spans="1:28">
      <c r="A141" s="53">
        <v>42395</v>
      </c>
      <c r="B141" s="54">
        <v>0.54166666666666663</v>
      </c>
      <c r="C141" s="53">
        <v>42396</v>
      </c>
      <c r="D141" s="54">
        <v>0.46875</v>
      </c>
      <c r="E141" s="55">
        <v>22.5</v>
      </c>
      <c r="F141" s="56">
        <v>2.4</v>
      </c>
      <c r="G141" s="56">
        <v>2.8</v>
      </c>
      <c r="H141" s="57">
        <v>772</v>
      </c>
      <c r="I141" s="57">
        <v>3929</v>
      </c>
      <c r="J141" s="55">
        <f t="shared" si="12"/>
        <v>28.748015873015877</v>
      </c>
      <c r="K141" s="57">
        <v>22800</v>
      </c>
      <c r="L141" s="57">
        <v>51</v>
      </c>
      <c r="M141" s="58">
        <v>77.349999999999994</v>
      </c>
      <c r="N141" s="57">
        <v>34</v>
      </c>
      <c r="O141" s="57">
        <v>44</v>
      </c>
      <c r="P141" s="57">
        <f>114+363</f>
        <v>477</v>
      </c>
      <c r="Q141" s="57">
        <v>0</v>
      </c>
      <c r="R141" s="57">
        <v>0</v>
      </c>
      <c r="S141" s="57">
        <v>0</v>
      </c>
      <c r="T141" s="59">
        <v>0</v>
      </c>
      <c r="U141" s="59">
        <v>0</v>
      </c>
      <c r="V141" s="59">
        <v>1</v>
      </c>
      <c r="W141" s="57">
        <f t="shared" si="13"/>
        <v>16.5924494444061</v>
      </c>
      <c r="X141" s="57">
        <f t="shared" si="14"/>
        <v>0</v>
      </c>
      <c r="Y141" s="57">
        <f t="shared" si="15"/>
        <v>0</v>
      </c>
      <c r="Z141" s="57">
        <f t="shared" si="16"/>
        <v>0</v>
      </c>
      <c r="AA141" s="57">
        <f t="shared" si="17"/>
        <v>0</v>
      </c>
      <c r="AB141" s="57" t="s">
        <v>37</v>
      </c>
    </row>
    <row r="142" spans="1:28">
      <c r="A142" s="53">
        <v>42396</v>
      </c>
      <c r="B142" s="54">
        <v>0.46875</v>
      </c>
      <c r="C142" s="53">
        <v>42397</v>
      </c>
      <c r="D142" s="54">
        <v>0.42708333333333331</v>
      </c>
      <c r="E142" s="55">
        <v>23</v>
      </c>
      <c r="F142" s="56">
        <v>2.7</v>
      </c>
      <c r="G142" s="56">
        <v>3.4</v>
      </c>
      <c r="H142" s="57">
        <v>3364</v>
      </c>
      <c r="I142" s="57">
        <v>4319</v>
      </c>
      <c r="J142" s="55">
        <f t="shared" si="12"/>
        <v>41.937000726216411</v>
      </c>
      <c r="K142" s="57">
        <v>19300</v>
      </c>
      <c r="L142" s="57">
        <v>50</v>
      </c>
      <c r="M142" s="58">
        <v>66.5</v>
      </c>
      <c r="N142" s="57">
        <v>34</v>
      </c>
      <c r="O142" s="57">
        <v>91</v>
      </c>
      <c r="P142" s="57">
        <f>124+272</f>
        <v>396</v>
      </c>
      <c r="Q142" s="57">
        <f>2+1</f>
        <v>3</v>
      </c>
      <c r="R142" s="57">
        <f>0+1</f>
        <v>1</v>
      </c>
      <c r="S142" s="57">
        <v>0</v>
      </c>
      <c r="T142" s="59">
        <v>0</v>
      </c>
      <c r="U142" s="59">
        <v>0</v>
      </c>
      <c r="V142" s="59">
        <f>2+1</f>
        <v>3</v>
      </c>
      <c r="W142" s="57">
        <f t="shared" si="13"/>
        <v>9.4427353683508741</v>
      </c>
      <c r="X142" s="57">
        <f t="shared" si="14"/>
        <v>7.1535874002658137E-2</v>
      </c>
      <c r="Y142" s="57">
        <f t="shared" si="15"/>
        <v>2.3845291334219379E-2</v>
      </c>
      <c r="Z142" s="57">
        <f t="shared" si="16"/>
        <v>0</v>
      </c>
      <c r="AA142" s="57">
        <f t="shared" si="17"/>
        <v>0</v>
      </c>
      <c r="AB142" s="57" t="s">
        <v>37</v>
      </c>
    </row>
    <row r="143" spans="1:28">
      <c r="A143" s="53">
        <v>42397</v>
      </c>
      <c r="B143" s="54">
        <v>0.42708333333333331</v>
      </c>
      <c r="C143" s="53">
        <v>42398</v>
      </c>
      <c r="D143" s="54">
        <v>0.39583333333333331</v>
      </c>
      <c r="E143" s="55">
        <v>24.75</v>
      </c>
      <c r="F143" s="56">
        <v>2.1</v>
      </c>
      <c r="G143" s="56">
        <v>3.3</v>
      </c>
      <c r="H143" s="57">
        <v>1994</v>
      </c>
      <c r="I143" s="57">
        <v>2571</v>
      </c>
      <c r="J143" s="55">
        <f t="shared" si="12"/>
        <v>28.81024531024531</v>
      </c>
      <c r="K143" s="57">
        <v>16500</v>
      </c>
      <c r="L143" s="57">
        <v>51</v>
      </c>
      <c r="M143" s="58">
        <v>56.8</v>
      </c>
      <c r="N143" s="57">
        <v>34</v>
      </c>
      <c r="O143" s="57">
        <v>44</v>
      </c>
      <c r="P143" s="57">
        <f>15+36</f>
        <v>51</v>
      </c>
      <c r="Q143" s="57">
        <v>0</v>
      </c>
      <c r="R143" s="57">
        <v>0</v>
      </c>
      <c r="S143" s="57">
        <v>0</v>
      </c>
      <c r="T143" s="59">
        <v>0</v>
      </c>
      <c r="U143" s="59">
        <f>0+1</f>
        <v>1</v>
      </c>
      <c r="V143" s="59">
        <f>1+0</f>
        <v>1</v>
      </c>
      <c r="W143" s="57">
        <f t="shared" si="13"/>
        <v>1.7702036012120907</v>
      </c>
      <c r="X143" s="57">
        <f t="shared" si="14"/>
        <v>0</v>
      </c>
      <c r="Y143" s="57">
        <f t="shared" si="15"/>
        <v>0</v>
      </c>
      <c r="Z143" s="57">
        <f t="shared" si="16"/>
        <v>0</v>
      </c>
      <c r="AA143" s="57">
        <f t="shared" si="17"/>
        <v>3.4709874533570412E-2</v>
      </c>
      <c r="AB143" s="57" t="s">
        <v>37</v>
      </c>
    </row>
    <row r="144" spans="1:28">
      <c r="A144" s="53">
        <v>42398</v>
      </c>
      <c r="B144" s="54">
        <v>0.39583333333333331</v>
      </c>
      <c r="C144" s="53">
        <v>42399</v>
      </c>
      <c r="D144" s="54">
        <v>0.38541666666666669</v>
      </c>
      <c r="E144" s="55">
        <v>23.75</v>
      </c>
      <c r="F144" s="56">
        <v>2.7</v>
      </c>
      <c r="G144" s="56">
        <v>3.3</v>
      </c>
      <c r="H144" s="57">
        <v>3646</v>
      </c>
      <c r="I144" s="59" t="s">
        <v>38</v>
      </c>
      <c r="J144" s="55">
        <f xml:space="preserve"> (((H144/F144))/60)+E144</f>
        <v>46.256172839506171</v>
      </c>
      <c r="K144" s="57">
        <v>15200</v>
      </c>
      <c r="L144" s="57">
        <v>51</v>
      </c>
      <c r="M144" s="58">
        <v>47.8</v>
      </c>
      <c r="N144" s="57">
        <v>33</v>
      </c>
      <c r="O144" s="57">
        <v>66</v>
      </c>
      <c r="P144" s="57">
        <f>10+32</f>
        <v>42</v>
      </c>
      <c r="Q144" s="57">
        <f>0+1</f>
        <v>1</v>
      </c>
      <c r="R144" s="57">
        <v>0</v>
      </c>
      <c r="S144" s="57">
        <v>0</v>
      </c>
      <c r="T144" s="59">
        <v>0</v>
      </c>
      <c r="U144" s="59">
        <v>0</v>
      </c>
      <c r="V144" s="59">
        <v>1</v>
      </c>
      <c r="W144" s="57">
        <f t="shared" si="13"/>
        <v>0.90798692199906594</v>
      </c>
      <c r="X144" s="57">
        <f t="shared" si="14"/>
        <v>2.1618736238072998E-2</v>
      </c>
      <c r="Y144" s="57">
        <f t="shared" si="15"/>
        <v>0</v>
      </c>
      <c r="Z144" s="57">
        <f t="shared" si="16"/>
        <v>0</v>
      </c>
      <c r="AA144" s="57">
        <f t="shared" si="17"/>
        <v>0</v>
      </c>
      <c r="AB144" s="57" t="s">
        <v>40</v>
      </c>
    </row>
    <row r="145" spans="1:28">
      <c r="A145" s="53">
        <v>42399</v>
      </c>
      <c r="B145" s="54">
        <v>0.38541666666666669</v>
      </c>
      <c r="C145" s="53">
        <v>42400</v>
      </c>
      <c r="D145" s="54">
        <v>0.39583333333333331</v>
      </c>
      <c r="E145" s="55">
        <v>24.25</v>
      </c>
      <c r="F145" s="56">
        <v>2.9</v>
      </c>
      <c r="G145" s="56">
        <v>3.6</v>
      </c>
      <c r="H145" s="57">
        <v>1487</v>
      </c>
      <c r="I145" s="57">
        <v>1876</v>
      </c>
      <c r="J145" s="55">
        <f xml:space="preserve"> (((H145/F145)+(I145/G145))/60)</f>
        <v>17.231162196679438</v>
      </c>
      <c r="K145" s="57">
        <v>25400</v>
      </c>
      <c r="L145" s="57">
        <v>51</v>
      </c>
      <c r="M145" s="58">
        <v>54.4</v>
      </c>
      <c r="N145" s="57">
        <v>34</v>
      </c>
      <c r="O145" s="57">
        <v>45</v>
      </c>
      <c r="P145" s="57">
        <f>10+2</f>
        <v>12</v>
      </c>
      <c r="Q145" s="57">
        <v>0</v>
      </c>
      <c r="R145" s="57">
        <v>0</v>
      </c>
      <c r="S145" s="57">
        <v>0</v>
      </c>
      <c r="T145" s="59">
        <v>0</v>
      </c>
      <c r="U145" s="59">
        <v>0</v>
      </c>
      <c r="V145" s="59">
        <v>0</v>
      </c>
      <c r="W145" s="57">
        <f t="shared" si="13"/>
        <v>0.69641268900088937</v>
      </c>
      <c r="X145" s="57">
        <f t="shared" si="14"/>
        <v>0</v>
      </c>
      <c r="Y145" s="57">
        <f t="shared" si="15"/>
        <v>0</v>
      </c>
      <c r="Z145" s="57">
        <f t="shared" si="16"/>
        <v>0</v>
      </c>
      <c r="AA145" s="57">
        <f t="shared" si="17"/>
        <v>0</v>
      </c>
      <c r="AB145" s="57" t="s">
        <v>37</v>
      </c>
    </row>
    <row r="146" spans="1:28" s="63" customFormat="1">
      <c r="A146" s="53">
        <v>42400</v>
      </c>
      <c r="B146" s="54">
        <v>0.54166666666666663</v>
      </c>
      <c r="C146" s="53">
        <v>42401</v>
      </c>
      <c r="D146" s="54">
        <v>0.45833333333333331</v>
      </c>
      <c r="E146" s="55">
        <v>22</v>
      </c>
      <c r="F146" s="56">
        <v>2.7</v>
      </c>
      <c r="G146" s="56">
        <v>3.8</v>
      </c>
      <c r="H146" s="57">
        <v>2136</v>
      </c>
      <c r="I146" s="57">
        <v>329</v>
      </c>
      <c r="J146" s="55">
        <f xml:space="preserve"> (((H146/F146)+(I146/G146))/60)</f>
        <v>14.628167641325536</v>
      </c>
      <c r="K146" s="57">
        <v>24500</v>
      </c>
      <c r="L146" s="57">
        <v>49</v>
      </c>
      <c r="M146" s="58">
        <v>274</v>
      </c>
      <c r="N146" s="57">
        <v>31</v>
      </c>
      <c r="O146" s="57">
        <v>47</v>
      </c>
      <c r="P146" s="57">
        <v>100</v>
      </c>
      <c r="Q146" s="57">
        <v>0</v>
      </c>
      <c r="R146" s="57">
        <v>0</v>
      </c>
      <c r="S146" s="57">
        <v>0</v>
      </c>
      <c r="T146" s="59">
        <v>0</v>
      </c>
      <c r="U146" s="59">
        <v>1</v>
      </c>
      <c r="V146" s="59">
        <v>7</v>
      </c>
      <c r="W146" s="57">
        <f t="shared" si="13"/>
        <v>6.8361261951560781</v>
      </c>
      <c r="X146" s="57">
        <f t="shared" si="14"/>
        <v>0</v>
      </c>
      <c r="Y146" s="57">
        <f t="shared" si="15"/>
        <v>0</v>
      </c>
      <c r="Z146" s="57">
        <f t="shared" si="16"/>
        <v>0</v>
      </c>
      <c r="AA146" s="57">
        <f t="shared" si="17"/>
        <v>6.8361261951560781E-2</v>
      </c>
      <c r="AB146" s="57" t="s">
        <v>37</v>
      </c>
    </row>
    <row r="147" spans="1:28" s="63" customFormat="1">
      <c r="A147" s="53">
        <v>42401</v>
      </c>
      <c r="B147" s="54">
        <v>0.51041666666666663</v>
      </c>
      <c r="C147" s="53">
        <v>42401</v>
      </c>
      <c r="D147" s="54">
        <v>0.61458333333333337</v>
      </c>
      <c r="E147" s="55">
        <v>2.5</v>
      </c>
      <c r="F147" s="56">
        <v>4.0999999999999996</v>
      </c>
      <c r="G147" s="56">
        <v>4.4000000000000004</v>
      </c>
      <c r="H147" s="57">
        <v>286</v>
      </c>
      <c r="I147" s="57">
        <v>649</v>
      </c>
      <c r="J147" s="55">
        <f xml:space="preserve"> (((H147/F147)+(I147/G147))/60)</f>
        <v>3.6209349593495932</v>
      </c>
      <c r="K147" s="57">
        <v>24300</v>
      </c>
      <c r="L147" s="57">
        <v>50</v>
      </c>
      <c r="M147" s="58">
        <v>241</v>
      </c>
      <c r="N147" s="57">
        <v>33</v>
      </c>
      <c r="O147" s="57">
        <v>44</v>
      </c>
      <c r="P147" s="57">
        <v>292</v>
      </c>
      <c r="Q147" s="57">
        <v>0</v>
      </c>
      <c r="R147" s="57">
        <v>0</v>
      </c>
      <c r="S147" s="57">
        <v>0</v>
      </c>
      <c r="T147" s="59">
        <v>0</v>
      </c>
      <c r="U147" s="59">
        <v>0</v>
      </c>
      <c r="V147" s="59">
        <v>0</v>
      </c>
      <c r="W147" s="57">
        <f t="shared" si="13"/>
        <v>80.642155486949207</v>
      </c>
      <c r="X147" s="57">
        <f t="shared" si="14"/>
        <v>0</v>
      </c>
      <c r="Y147" s="57">
        <f t="shared" si="15"/>
        <v>0</v>
      </c>
      <c r="Z147" s="57">
        <f t="shared" si="16"/>
        <v>0</v>
      </c>
      <c r="AA147" s="57">
        <f t="shared" si="17"/>
        <v>0</v>
      </c>
      <c r="AB147" s="57" t="s">
        <v>41</v>
      </c>
    </row>
    <row r="148" spans="1:28" s="63" customFormat="1">
      <c r="A148" s="53">
        <v>42401</v>
      </c>
      <c r="B148" s="54">
        <v>0.61458333333333337</v>
      </c>
      <c r="C148" s="53">
        <v>42402</v>
      </c>
      <c r="D148" s="54">
        <v>0.40625</v>
      </c>
      <c r="E148" s="55">
        <v>19</v>
      </c>
      <c r="F148" s="56">
        <v>2.2000000000000002</v>
      </c>
      <c r="G148" s="56">
        <v>2.9</v>
      </c>
      <c r="H148" s="57">
        <v>316</v>
      </c>
      <c r="I148" s="57">
        <v>797</v>
      </c>
      <c r="J148" s="55">
        <f xml:space="preserve"> (((H148/F148)+(I148/G148))/60)</f>
        <v>6.9743991640543364</v>
      </c>
      <c r="K148" s="57">
        <v>22300</v>
      </c>
      <c r="L148" s="57">
        <v>48</v>
      </c>
      <c r="M148" s="58">
        <v>123.4</v>
      </c>
      <c r="N148" s="57">
        <v>33</v>
      </c>
      <c r="O148" s="57">
        <v>43</v>
      </c>
      <c r="P148" s="57">
        <f>21+56</f>
        <v>77</v>
      </c>
      <c r="Q148" s="57">
        <v>0</v>
      </c>
      <c r="R148" s="57">
        <v>0</v>
      </c>
      <c r="S148" s="57">
        <v>0</v>
      </c>
      <c r="T148" s="59">
        <v>0</v>
      </c>
      <c r="U148" s="59">
        <v>0</v>
      </c>
      <c r="V148" s="59">
        <v>0</v>
      </c>
      <c r="W148" s="57">
        <f t="shared" si="13"/>
        <v>11.040377556371263</v>
      </c>
      <c r="X148" s="57">
        <f t="shared" si="14"/>
        <v>0</v>
      </c>
      <c r="Y148" s="57">
        <f t="shared" si="15"/>
        <v>0</v>
      </c>
      <c r="Z148" s="57">
        <f t="shared" si="16"/>
        <v>0</v>
      </c>
      <c r="AA148" s="57">
        <f t="shared" si="17"/>
        <v>0</v>
      </c>
      <c r="AB148" s="57" t="s">
        <v>42</v>
      </c>
    </row>
    <row r="149" spans="1:28">
      <c r="A149" s="53">
        <v>42402</v>
      </c>
      <c r="B149" s="54">
        <v>0.40625</v>
      </c>
      <c r="C149" s="53">
        <v>42403</v>
      </c>
      <c r="D149" s="54">
        <v>0.44791666666666669</v>
      </c>
      <c r="E149" s="55">
        <v>25</v>
      </c>
      <c r="F149" s="56">
        <v>3.1</v>
      </c>
      <c r="G149" s="56">
        <v>3.3</v>
      </c>
      <c r="H149" s="57">
        <v>2659</v>
      </c>
      <c r="I149" s="57">
        <v>4550</v>
      </c>
      <c r="J149" s="55">
        <f xml:space="preserve"> (((H149/F149)+(I149/G149))/60)</f>
        <v>37.275496904529163</v>
      </c>
      <c r="K149" s="57">
        <v>18100</v>
      </c>
      <c r="L149" s="57">
        <v>47</v>
      </c>
      <c r="M149" s="58">
        <v>71</v>
      </c>
      <c r="N149" s="57">
        <v>33</v>
      </c>
      <c r="O149" s="57">
        <v>45</v>
      </c>
      <c r="P149" s="57">
        <f>66+139</f>
        <v>205</v>
      </c>
      <c r="Q149" s="57">
        <v>0</v>
      </c>
      <c r="R149" s="57">
        <v>0</v>
      </c>
      <c r="S149" s="57">
        <v>0</v>
      </c>
      <c r="T149" s="59">
        <v>1</v>
      </c>
      <c r="U149" s="59">
        <v>0</v>
      </c>
      <c r="V149" s="59">
        <f>1+1</f>
        <v>2</v>
      </c>
      <c r="W149" s="57">
        <f t="shared" si="13"/>
        <v>5.4995913407955523</v>
      </c>
      <c r="X149" s="57">
        <f t="shared" si="14"/>
        <v>0</v>
      </c>
      <c r="Y149" s="57">
        <f t="shared" si="15"/>
        <v>0</v>
      </c>
      <c r="Z149" s="57">
        <f t="shared" si="16"/>
        <v>0</v>
      </c>
      <c r="AA149" s="57">
        <f t="shared" si="17"/>
        <v>0</v>
      </c>
      <c r="AB149" s="57" t="s">
        <v>42</v>
      </c>
    </row>
    <row r="150" spans="1:28">
      <c r="A150" s="53">
        <v>42403</v>
      </c>
      <c r="B150" s="54">
        <v>0.44791666666666669</v>
      </c>
      <c r="C150" s="53">
        <v>42404</v>
      </c>
      <c r="D150" s="54">
        <v>0.45833333333333331</v>
      </c>
      <c r="E150" s="55">
        <v>24.25</v>
      </c>
      <c r="F150" s="56">
        <v>2.2000000000000002</v>
      </c>
      <c r="G150" s="56">
        <v>3.2</v>
      </c>
      <c r="H150" s="57">
        <v>1353</v>
      </c>
      <c r="I150" s="57">
        <v>4622</v>
      </c>
      <c r="J150" s="55">
        <f t="shared" ref="J150:J168" si="18" xml:space="preserve"> (((H150/F150)+(I150/G150))/60)</f>
        <v>34.322916666666664</v>
      </c>
      <c r="K150" s="57">
        <v>15600</v>
      </c>
      <c r="L150" s="57">
        <v>47</v>
      </c>
      <c r="M150" s="58">
        <v>46.7</v>
      </c>
      <c r="N150" s="57">
        <v>33</v>
      </c>
      <c r="O150" s="57">
        <v>46</v>
      </c>
      <c r="P150" s="57">
        <v>56</v>
      </c>
      <c r="Q150" s="57">
        <v>0</v>
      </c>
      <c r="R150" s="57">
        <v>0</v>
      </c>
      <c r="S150" s="57">
        <v>0</v>
      </c>
      <c r="T150" s="59">
        <v>0</v>
      </c>
      <c r="U150" s="59">
        <v>0</v>
      </c>
      <c r="V150" s="59">
        <v>0</v>
      </c>
      <c r="W150" s="57">
        <f t="shared" si="13"/>
        <v>1.6315629742033384</v>
      </c>
      <c r="X150" s="57">
        <f t="shared" si="14"/>
        <v>0</v>
      </c>
      <c r="Y150" s="57">
        <f t="shared" si="15"/>
        <v>0</v>
      </c>
      <c r="Z150" s="57">
        <f t="shared" si="16"/>
        <v>0</v>
      </c>
      <c r="AA150" s="57">
        <f t="shared" si="17"/>
        <v>0</v>
      </c>
      <c r="AB150" s="57" t="s">
        <v>43</v>
      </c>
    </row>
    <row r="151" spans="1:28">
      <c r="A151" s="53">
        <v>42404</v>
      </c>
      <c r="B151" s="54">
        <v>0.45833333333333331</v>
      </c>
      <c r="C151" s="53">
        <v>42405</v>
      </c>
      <c r="D151" s="54">
        <v>0.40625</v>
      </c>
      <c r="E151" s="55">
        <v>22.75</v>
      </c>
      <c r="F151" s="56">
        <v>2.9</v>
      </c>
      <c r="G151" s="56">
        <v>3.3</v>
      </c>
      <c r="H151" s="57">
        <v>2492</v>
      </c>
      <c r="I151" s="57">
        <v>4407</v>
      </c>
      <c r="J151" s="55">
        <f t="shared" si="18"/>
        <v>36.579414838035532</v>
      </c>
      <c r="K151" s="57">
        <v>13900</v>
      </c>
      <c r="L151" s="57">
        <v>48</v>
      </c>
      <c r="M151" s="58">
        <v>38.700000000000003</v>
      </c>
      <c r="N151" s="57">
        <v>34</v>
      </c>
      <c r="O151" s="57">
        <v>45</v>
      </c>
      <c r="P151" s="57">
        <v>28</v>
      </c>
      <c r="Q151" s="57">
        <v>0</v>
      </c>
      <c r="R151" s="57">
        <v>0</v>
      </c>
      <c r="S151" s="57">
        <v>0</v>
      </c>
      <c r="T151" s="59">
        <v>0</v>
      </c>
      <c r="U151" s="59">
        <v>0</v>
      </c>
      <c r="V151" s="59">
        <v>1</v>
      </c>
      <c r="W151" s="57">
        <f t="shared" si="13"/>
        <v>0.7654578435433419</v>
      </c>
      <c r="X151" s="57">
        <f t="shared" si="14"/>
        <v>0</v>
      </c>
      <c r="Y151" s="57">
        <f t="shared" si="15"/>
        <v>0</v>
      </c>
      <c r="Z151" s="57">
        <f t="shared" si="16"/>
        <v>0</v>
      </c>
      <c r="AA151" s="57">
        <f t="shared" si="17"/>
        <v>0</v>
      </c>
      <c r="AB151" s="57" t="s">
        <v>43</v>
      </c>
    </row>
    <row r="152" spans="1:28">
      <c r="A152" s="53">
        <v>42405</v>
      </c>
      <c r="B152" s="54">
        <v>0.40625</v>
      </c>
      <c r="C152" s="53">
        <v>42406</v>
      </c>
      <c r="D152" s="54">
        <v>0.38541666666666669</v>
      </c>
      <c r="E152" s="55">
        <v>23.5</v>
      </c>
      <c r="F152" s="56">
        <v>3</v>
      </c>
      <c r="G152" s="56">
        <v>3.5</v>
      </c>
      <c r="H152" s="57">
        <v>4036</v>
      </c>
      <c r="I152" s="57">
        <v>4683</v>
      </c>
      <c r="J152" s="55">
        <f t="shared" si="18"/>
        <v>44.722222222222214</v>
      </c>
      <c r="K152" s="57">
        <v>12800</v>
      </c>
      <c r="L152" s="57">
        <v>48</v>
      </c>
      <c r="M152" s="58">
        <v>39.700000000000003</v>
      </c>
      <c r="N152" s="57">
        <v>36</v>
      </c>
      <c r="O152" s="57">
        <v>42</v>
      </c>
      <c r="P152" s="57">
        <v>11</v>
      </c>
      <c r="Q152" s="57">
        <v>0</v>
      </c>
      <c r="R152" s="57">
        <v>0</v>
      </c>
      <c r="S152" s="57">
        <v>0</v>
      </c>
      <c r="T152" s="59">
        <v>0</v>
      </c>
      <c r="U152" s="59">
        <v>0</v>
      </c>
      <c r="V152" s="59">
        <v>0</v>
      </c>
      <c r="W152" s="57">
        <f t="shared" si="13"/>
        <v>0.24596273291925469</v>
      </c>
      <c r="X152" s="57">
        <f t="shared" si="14"/>
        <v>0</v>
      </c>
      <c r="Y152" s="57">
        <f t="shared" si="15"/>
        <v>0</v>
      </c>
      <c r="Z152" s="57">
        <f t="shared" si="16"/>
        <v>0</v>
      </c>
      <c r="AA152" s="57">
        <f t="shared" si="17"/>
        <v>0</v>
      </c>
      <c r="AB152" s="57" t="s">
        <v>44</v>
      </c>
    </row>
    <row r="153" spans="1:28">
      <c r="A153" s="53">
        <v>42406</v>
      </c>
      <c r="B153" s="54">
        <v>0.38541666666666669</v>
      </c>
      <c r="C153" s="53">
        <v>42407</v>
      </c>
      <c r="D153" s="54">
        <v>0.38541666666666669</v>
      </c>
      <c r="E153" s="55">
        <v>24</v>
      </c>
      <c r="F153" s="56">
        <v>3.2</v>
      </c>
      <c r="G153" s="56">
        <v>3.7</v>
      </c>
      <c r="H153" s="57">
        <v>2354</v>
      </c>
      <c r="I153" s="57">
        <v>972</v>
      </c>
      <c r="J153" s="55">
        <f t="shared" si="18"/>
        <v>16.638795045045047</v>
      </c>
      <c r="K153" s="57">
        <v>11800</v>
      </c>
      <c r="L153" s="57">
        <v>49</v>
      </c>
      <c r="M153" s="58">
        <v>28.9</v>
      </c>
      <c r="N153" s="57">
        <v>36</v>
      </c>
      <c r="O153" s="57">
        <v>36</v>
      </c>
      <c r="P153" s="57">
        <v>1</v>
      </c>
      <c r="Q153" s="57">
        <v>0</v>
      </c>
      <c r="R153" s="57">
        <v>0</v>
      </c>
      <c r="S153" s="57">
        <v>0</v>
      </c>
      <c r="T153" s="59">
        <v>0</v>
      </c>
      <c r="U153" s="59">
        <v>0</v>
      </c>
      <c r="V153" s="59">
        <v>0</v>
      </c>
      <c r="W153" s="57">
        <f t="shared" si="13"/>
        <v>6.0100505913605516E-2</v>
      </c>
      <c r="X153" s="57">
        <f t="shared" si="14"/>
        <v>0</v>
      </c>
      <c r="Y153" s="57">
        <f t="shared" si="15"/>
        <v>0</v>
      </c>
      <c r="Z153" s="57">
        <f t="shared" si="16"/>
        <v>0</v>
      </c>
      <c r="AA153" s="57">
        <f t="shared" si="17"/>
        <v>0</v>
      </c>
      <c r="AB153" s="57" t="s">
        <v>44</v>
      </c>
    </row>
    <row r="154" spans="1:28">
      <c r="A154" s="53">
        <v>42407</v>
      </c>
      <c r="B154" s="54">
        <v>0.38541666666666669</v>
      </c>
      <c r="C154" s="53">
        <v>42408</v>
      </c>
      <c r="D154" s="54">
        <v>0.38541666666666669</v>
      </c>
      <c r="E154" s="55">
        <v>24</v>
      </c>
      <c r="F154" s="56">
        <v>2.7</v>
      </c>
      <c r="G154" s="56">
        <v>3.1</v>
      </c>
      <c r="H154" s="57">
        <v>4080</v>
      </c>
      <c r="I154" s="57">
        <v>3220</v>
      </c>
      <c r="J154" s="55">
        <f t="shared" si="18"/>
        <v>42.497013142174431</v>
      </c>
      <c r="K154" s="57">
        <v>11000</v>
      </c>
      <c r="L154" s="57">
        <v>50</v>
      </c>
      <c r="M154" s="58">
        <v>30.3</v>
      </c>
      <c r="N154" s="57">
        <v>35</v>
      </c>
      <c r="O154" s="57">
        <v>42</v>
      </c>
      <c r="P154" s="57">
        <v>3</v>
      </c>
      <c r="Q154" s="57">
        <v>0</v>
      </c>
      <c r="R154" s="57">
        <v>0</v>
      </c>
      <c r="S154" s="57">
        <v>0</v>
      </c>
      <c r="T154" s="59">
        <v>0</v>
      </c>
      <c r="U154" s="59">
        <v>0</v>
      </c>
      <c r="V154" s="59">
        <v>0</v>
      </c>
      <c r="W154" s="57">
        <f t="shared" si="13"/>
        <v>7.0593196513916226E-2</v>
      </c>
      <c r="X154" s="57">
        <f t="shared" si="14"/>
        <v>0</v>
      </c>
      <c r="Y154" s="57">
        <f t="shared" si="15"/>
        <v>0</v>
      </c>
      <c r="Z154" s="57">
        <f t="shared" si="16"/>
        <v>0</v>
      </c>
      <c r="AA154" s="57">
        <f t="shared" si="17"/>
        <v>0</v>
      </c>
      <c r="AB154" s="57" t="s">
        <v>45</v>
      </c>
    </row>
    <row r="155" spans="1:28">
      <c r="A155" s="46">
        <v>42408</v>
      </c>
      <c r="B155" s="47">
        <v>0.38541666666666669</v>
      </c>
      <c r="C155" s="46">
        <v>42409</v>
      </c>
      <c r="D155" s="47">
        <v>0.40625</v>
      </c>
      <c r="E155" s="48">
        <v>24.5</v>
      </c>
      <c r="F155" s="49">
        <v>2.9</v>
      </c>
      <c r="G155" s="49">
        <v>3.4</v>
      </c>
      <c r="H155" s="4">
        <v>3941</v>
      </c>
      <c r="I155" s="4">
        <v>4359</v>
      </c>
      <c r="J155" s="48">
        <f t="shared" si="18"/>
        <v>44.017072346179852</v>
      </c>
      <c r="K155" s="4">
        <v>10400</v>
      </c>
      <c r="L155" s="4">
        <v>52</v>
      </c>
      <c r="M155" s="50">
        <v>24.3</v>
      </c>
      <c r="N155" s="4">
        <v>35</v>
      </c>
      <c r="O155" s="4">
        <v>42</v>
      </c>
      <c r="P155" s="4">
        <v>11</v>
      </c>
      <c r="Q155" s="4">
        <v>0</v>
      </c>
      <c r="R155" s="4">
        <v>0</v>
      </c>
      <c r="S155" s="4">
        <v>0</v>
      </c>
      <c r="T155" s="51">
        <v>0</v>
      </c>
      <c r="U155" s="51">
        <v>0</v>
      </c>
      <c r="V155" s="51">
        <v>1</v>
      </c>
      <c r="W155" s="4">
        <f t="shared" si="13"/>
        <v>0.24990303565599739</v>
      </c>
      <c r="X155" s="4">
        <f t="shared" si="14"/>
        <v>0</v>
      </c>
      <c r="Y155" s="4">
        <f t="shared" si="15"/>
        <v>0</v>
      </c>
      <c r="Z155" s="4">
        <f t="shared" si="16"/>
        <v>0</v>
      </c>
      <c r="AA155" s="4">
        <f t="shared" si="17"/>
        <v>0</v>
      </c>
      <c r="AB155" s="4" t="s">
        <v>46</v>
      </c>
    </row>
    <row r="156" spans="1:28">
      <c r="A156" s="46">
        <v>42409</v>
      </c>
      <c r="B156" s="47">
        <v>0.40625</v>
      </c>
      <c r="C156" s="46">
        <v>42410</v>
      </c>
      <c r="D156" s="47">
        <v>0.45833333333333331</v>
      </c>
      <c r="E156" s="48">
        <v>25.25</v>
      </c>
      <c r="F156" s="49">
        <v>2.9</v>
      </c>
      <c r="G156" s="49">
        <v>3.2</v>
      </c>
      <c r="H156" s="4">
        <v>4098</v>
      </c>
      <c r="I156" s="4">
        <v>4592</v>
      </c>
      <c r="J156" s="48">
        <f t="shared" si="18"/>
        <v>47.468390804597703</v>
      </c>
      <c r="K156" s="4">
        <v>9940</v>
      </c>
      <c r="L156" s="4">
        <v>54</v>
      </c>
      <c r="M156" s="50">
        <v>28.5</v>
      </c>
      <c r="N156" s="4">
        <v>36</v>
      </c>
      <c r="O156" s="4">
        <v>48</v>
      </c>
      <c r="P156" s="4">
        <v>11</v>
      </c>
      <c r="Q156" s="4">
        <v>0</v>
      </c>
      <c r="R156" s="4">
        <v>0</v>
      </c>
      <c r="S156" s="4">
        <v>0</v>
      </c>
      <c r="T156" s="51">
        <v>0</v>
      </c>
      <c r="U156" s="51">
        <v>0</v>
      </c>
      <c r="V156" s="51">
        <v>0</v>
      </c>
      <c r="W156" s="4">
        <f t="shared" si="13"/>
        <v>0.23173315576003389</v>
      </c>
      <c r="X156" s="4">
        <f t="shared" si="14"/>
        <v>0</v>
      </c>
      <c r="Y156" s="4">
        <f t="shared" si="15"/>
        <v>0</v>
      </c>
      <c r="Z156" s="4">
        <f t="shared" si="16"/>
        <v>0</v>
      </c>
      <c r="AA156" s="4">
        <f t="shared" si="17"/>
        <v>0</v>
      </c>
      <c r="AB156" s="4" t="s">
        <v>47</v>
      </c>
    </row>
    <row r="157" spans="1:28">
      <c r="A157" s="46">
        <v>42410</v>
      </c>
      <c r="B157" s="47">
        <v>0.45833333333333331</v>
      </c>
      <c r="C157" s="46">
        <v>42411</v>
      </c>
      <c r="D157" s="47">
        <v>0.42708333333333331</v>
      </c>
      <c r="E157" s="48">
        <v>23.25</v>
      </c>
      <c r="F157" s="49">
        <v>2.7</v>
      </c>
      <c r="G157" s="49">
        <v>2.9</v>
      </c>
      <c r="H157" s="4">
        <v>3619</v>
      </c>
      <c r="I157" s="4">
        <v>3951</v>
      </c>
      <c r="J157" s="48">
        <f t="shared" si="18"/>
        <v>45.046402724563649</v>
      </c>
      <c r="K157" s="4">
        <v>9550</v>
      </c>
      <c r="L157" s="4">
        <v>54</v>
      </c>
      <c r="M157" s="50">
        <v>25.6</v>
      </c>
      <c r="N157" s="4">
        <v>37</v>
      </c>
      <c r="O157" s="4">
        <v>52</v>
      </c>
      <c r="P157" s="4">
        <v>9</v>
      </c>
      <c r="Q157" s="4">
        <v>0</v>
      </c>
      <c r="R157" s="4">
        <v>0</v>
      </c>
      <c r="S157" s="4">
        <v>0</v>
      </c>
      <c r="T157" s="51">
        <v>0</v>
      </c>
      <c r="U157" s="51">
        <v>0</v>
      </c>
      <c r="V157" s="51">
        <v>0</v>
      </c>
      <c r="W157" s="4">
        <f t="shared" si="13"/>
        <v>0.19979397811253707</v>
      </c>
      <c r="X157" s="4">
        <f t="shared" si="14"/>
        <v>0</v>
      </c>
      <c r="Y157" s="4">
        <f t="shared" si="15"/>
        <v>0</v>
      </c>
      <c r="Z157" s="4">
        <f t="shared" si="16"/>
        <v>0</v>
      </c>
      <c r="AA157" s="4">
        <f t="shared" si="17"/>
        <v>0</v>
      </c>
    </row>
    <row r="158" spans="1:28">
      <c r="A158" s="46">
        <v>42411</v>
      </c>
      <c r="B158" s="47">
        <v>0.42708333333333331</v>
      </c>
      <c r="C158" s="46">
        <v>42412</v>
      </c>
      <c r="D158" s="47">
        <v>0.40625</v>
      </c>
      <c r="E158" s="48">
        <v>23.5</v>
      </c>
      <c r="F158" s="49">
        <v>2.6</v>
      </c>
      <c r="G158" s="49">
        <v>3</v>
      </c>
      <c r="H158" s="4">
        <v>3690</v>
      </c>
      <c r="I158" s="4">
        <v>325</v>
      </c>
      <c r="J158" s="48">
        <f t="shared" si="18"/>
        <v>25.45940170940171</v>
      </c>
      <c r="K158" s="4">
        <v>9310</v>
      </c>
      <c r="L158" s="4">
        <v>55</v>
      </c>
      <c r="M158" s="50">
        <v>22.9</v>
      </c>
      <c r="N158" s="4">
        <v>42</v>
      </c>
      <c r="O158" s="4">
        <v>42</v>
      </c>
      <c r="P158" s="4">
        <v>1</v>
      </c>
      <c r="Q158" s="4">
        <v>0</v>
      </c>
      <c r="R158" s="4">
        <v>0</v>
      </c>
      <c r="S158" s="4">
        <v>0</v>
      </c>
      <c r="T158" s="51">
        <v>0</v>
      </c>
      <c r="U158" s="51">
        <v>0</v>
      </c>
      <c r="V158" s="51">
        <v>0</v>
      </c>
      <c r="W158" s="4">
        <f t="shared" si="13"/>
        <v>3.927822073017205E-2</v>
      </c>
      <c r="X158" s="4">
        <f t="shared" si="14"/>
        <v>0</v>
      </c>
      <c r="Y158" s="4">
        <f t="shared" si="15"/>
        <v>0</v>
      </c>
      <c r="Z158" s="4">
        <f t="shared" si="16"/>
        <v>0</v>
      </c>
      <c r="AA158" s="4">
        <f t="shared" si="17"/>
        <v>0</v>
      </c>
    </row>
    <row r="159" spans="1:28">
      <c r="A159" s="46">
        <v>42412</v>
      </c>
      <c r="B159" s="47">
        <v>0.58333333333333337</v>
      </c>
      <c r="C159" s="46">
        <v>42413</v>
      </c>
      <c r="D159" s="47">
        <v>0.39583333333333331</v>
      </c>
      <c r="E159" s="48">
        <v>19.5</v>
      </c>
      <c r="F159" s="49">
        <v>2.7</v>
      </c>
      <c r="G159" s="49">
        <v>3</v>
      </c>
      <c r="H159" s="4">
        <v>2914</v>
      </c>
      <c r="I159" s="4">
        <v>3560</v>
      </c>
      <c r="J159" s="48">
        <f t="shared" si="18"/>
        <v>37.765432098765437</v>
      </c>
      <c r="K159" s="4">
        <v>9080</v>
      </c>
      <c r="L159" s="4">
        <v>55</v>
      </c>
      <c r="M159" s="50">
        <v>25.35</v>
      </c>
      <c r="N159" s="4">
        <v>40</v>
      </c>
      <c r="O159" s="4">
        <v>53</v>
      </c>
      <c r="P159" s="4">
        <v>6</v>
      </c>
      <c r="Q159" s="4">
        <v>0</v>
      </c>
      <c r="R159" s="4">
        <v>0</v>
      </c>
      <c r="S159" s="4">
        <v>0</v>
      </c>
      <c r="T159" s="51">
        <v>0</v>
      </c>
      <c r="U159" s="51">
        <v>0</v>
      </c>
      <c r="V159" s="51">
        <v>0</v>
      </c>
      <c r="W159" s="4">
        <f t="shared" si="13"/>
        <v>0.15887544949329843</v>
      </c>
      <c r="X159" s="4">
        <f t="shared" si="14"/>
        <v>0</v>
      </c>
      <c r="Y159" s="4">
        <f t="shared" si="15"/>
        <v>0</v>
      </c>
      <c r="Z159" s="4">
        <f t="shared" si="16"/>
        <v>0</v>
      </c>
      <c r="AA159" s="4">
        <f t="shared" si="17"/>
        <v>0</v>
      </c>
    </row>
    <row r="160" spans="1:28">
      <c r="A160" s="46">
        <v>42413</v>
      </c>
      <c r="B160" s="47">
        <v>0.39583333333333331</v>
      </c>
      <c r="C160" s="46">
        <v>42414</v>
      </c>
      <c r="D160" s="47">
        <v>0.38541666666666669</v>
      </c>
      <c r="E160" s="48">
        <v>23.75</v>
      </c>
      <c r="F160" s="49">
        <v>2.7</v>
      </c>
      <c r="G160" s="49">
        <v>2.9</v>
      </c>
      <c r="H160" s="4">
        <v>2118</v>
      </c>
      <c r="I160" s="4">
        <v>4084</v>
      </c>
      <c r="J160" s="48">
        <f t="shared" si="18"/>
        <v>36.545338441890166</v>
      </c>
      <c r="K160" s="4">
        <v>8790</v>
      </c>
      <c r="L160" s="4">
        <v>55</v>
      </c>
      <c r="M160" s="50">
        <v>24.7</v>
      </c>
      <c r="N160" s="4">
        <v>38</v>
      </c>
      <c r="O160" s="4">
        <v>51</v>
      </c>
      <c r="P160" s="4">
        <v>6</v>
      </c>
      <c r="Q160" s="4">
        <v>0</v>
      </c>
      <c r="R160" s="4">
        <v>0</v>
      </c>
      <c r="S160" s="4">
        <v>0</v>
      </c>
      <c r="T160" s="51">
        <v>0</v>
      </c>
      <c r="U160" s="51">
        <v>0</v>
      </c>
      <c r="V160" s="51">
        <v>0</v>
      </c>
      <c r="W160" s="4">
        <f t="shared" si="13"/>
        <v>0.16417962607024289</v>
      </c>
      <c r="X160" s="4">
        <f t="shared" si="14"/>
        <v>0</v>
      </c>
      <c r="Y160" s="4">
        <f t="shared" si="15"/>
        <v>0</v>
      </c>
      <c r="Z160" s="4">
        <f t="shared" si="16"/>
        <v>0</v>
      </c>
      <c r="AA160" s="4">
        <f t="shared" si="17"/>
        <v>0</v>
      </c>
    </row>
    <row r="161" spans="1:28">
      <c r="A161" s="46">
        <v>42414</v>
      </c>
      <c r="B161" s="47">
        <v>0.38541666666666669</v>
      </c>
      <c r="C161" s="46">
        <v>42415</v>
      </c>
      <c r="D161" s="47">
        <v>0.375</v>
      </c>
      <c r="E161" s="48">
        <v>23.75</v>
      </c>
      <c r="F161" s="49">
        <v>2.8</v>
      </c>
      <c r="G161" s="49">
        <v>2.6</v>
      </c>
      <c r="H161" s="4">
        <v>1805</v>
      </c>
      <c r="I161" s="4">
        <v>3978</v>
      </c>
      <c r="J161" s="48">
        <f t="shared" si="18"/>
        <v>36.24404761904762</v>
      </c>
      <c r="K161" s="4">
        <v>8530</v>
      </c>
      <c r="L161" s="4">
        <v>56</v>
      </c>
      <c r="M161" s="50">
        <v>22.35</v>
      </c>
      <c r="N161" s="4">
        <v>35</v>
      </c>
      <c r="O161" s="4">
        <v>41</v>
      </c>
      <c r="P161" s="4">
        <v>3</v>
      </c>
      <c r="Q161" s="4">
        <v>0</v>
      </c>
      <c r="R161" s="4">
        <v>0</v>
      </c>
      <c r="S161" s="4">
        <v>0</v>
      </c>
      <c r="T161" s="51">
        <v>0</v>
      </c>
      <c r="U161" s="51">
        <v>0</v>
      </c>
      <c r="V161" s="51">
        <v>0</v>
      </c>
      <c r="W161" s="4">
        <f t="shared" si="13"/>
        <v>8.2772212185909008E-2</v>
      </c>
      <c r="X161" s="4">
        <f t="shared" si="14"/>
        <v>0</v>
      </c>
      <c r="Y161" s="4">
        <f t="shared" si="15"/>
        <v>0</v>
      </c>
      <c r="Z161" s="4">
        <f t="shared" si="16"/>
        <v>0</v>
      </c>
      <c r="AA161" s="4">
        <f t="shared" si="17"/>
        <v>0</v>
      </c>
    </row>
    <row r="162" spans="1:28">
      <c r="A162" s="46">
        <v>42415</v>
      </c>
      <c r="B162" s="47">
        <v>0.375</v>
      </c>
      <c r="C162" s="46">
        <v>42416</v>
      </c>
      <c r="D162" s="47">
        <v>0.41666666666666669</v>
      </c>
      <c r="E162" s="48">
        <v>25</v>
      </c>
      <c r="F162" s="49">
        <v>2.7</v>
      </c>
      <c r="G162" s="49">
        <v>2.8</v>
      </c>
      <c r="H162" s="4">
        <v>3867</v>
      </c>
      <c r="I162" s="4">
        <v>2363</v>
      </c>
      <c r="J162" s="48">
        <f t="shared" si="18"/>
        <v>37.935846560846564</v>
      </c>
      <c r="K162" s="4">
        <v>8240</v>
      </c>
      <c r="L162" s="4">
        <v>57</v>
      </c>
      <c r="M162" s="50">
        <v>17.04</v>
      </c>
      <c r="N162" s="4">
        <v>39</v>
      </c>
      <c r="O162" s="4">
        <v>53</v>
      </c>
      <c r="P162" s="4">
        <v>5</v>
      </c>
      <c r="Q162" s="4">
        <v>0</v>
      </c>
      <c r="R162" s="4">
        <v>0</v>
      </c>
      <c r="S162" s="4">
        <v>0</v>
      </c>
      <c r="T162" s="51">
        <v>0</v>
      </c>
      <c r="U162" s="51">
        <v>0</v>
      </c>
      <c r="V162" s="51">
        <v>0</v>
      </c>
      <c r="W162" s="4">
        <f t="shared" si="13"/>
        <v>0.13180146097386633</v>
      </c>
      <c r="X162" s="4">
        <f t="shared" si="14"/>
        <v>0</v>
      </c>
      <c r="Y162" s="4">
        <f t="shared" si="15"/>
        <v>0</v>
      </c>
      <c r="Z162" s="4">
        <f t="shared" si="16"/>
        <v>0</v>
      </c>
      <c r="AA162" s="4">
        <f t="shared" si="17"/>
        <v>0</v>
      </c>
    </row>
    <row r="163" spans="1:28">
      <c r="A163" s="46">
        <v>42416</v>
      </c>
      <c r="B163" s="47">
        <v>0.40625</v>
      </c>
      <c r="C163" s="46">
        <v>42417</v>
      </c>
      <c r="D163" s="47">
        <v>0.4375</v>
      </c>
      <c r="E163" s="48">
        <v>24.75</v>
      </c>
      <c r="F163" s="49">
        <v>2.6</v>
      </c>
      <c r="G163" s="49">
        <v>2.5</v>
      </c>
      <c r="H163" s="4">
        <v>3583</v>
      </c>
      <c r="I163" s="4">
        <v>3819</v>
      </c>
      <c r="J163" s="48">
        <f t="shared" si="18"/>
        <v>48.427948717948723</v>
      </c>
      <c r="K163" s="4">
        <v>7980</v>
      </c>
      <c r="L163" s="4">
        <v>58</v>
      </c>
      <c r="M163" s="50">
        <v>25.8</v>
      </c>
      <c r="N163" s="4">
        <v>39</v>
      </c>
      <c r="O163" s="4">
        <v>54</v>
      </c>
      <c r="P163" s="4">
        <v>6</v>
      </c>
      <c r="Q163" s="4">
        <v>0</v>
      </c>
      <c r="R163" s="4">
        <v>0</v>
      </c>
      <c r="S163" s="4">
        <v>0</v>
      </c>
      <c r="T163" s="51">
        <v>0</v>
      </c>
      <c r="U163" s="51">
        <v>0</v>
      </c>
      <c r="V163" s="51">
        <v>0</v>
      </c>
      <c r="W163" s="4">
        <f t="shared" si="13"/>
        <v>0.12389539839783129</v>
      </c>
      <c r="X163" s="4">
        <f t="shared" si="14"/>
        <v>0</v>
      </c>
      <c r="Y163" s="4">
        <f t="shared" si="15"/>
        <v>0</v>
      </c>
      <c r="Z163" s="4">
        <f t="shared" si="16"/>
        <v>0</v>
      </c>
      <c r="AA163" s="4">
        <f t="shared" si="17"/>
        <v>0</v>
      </c>
      <c r="AB163" s="4" t="s">
        <v>48</v>
      </c>
    </row>
    <row r="164" spans="1:28">
      <c r="A164" s="46">
        <v>42417</v>
      </c>
      <c r="B164" s="47">
        <v>0.4375</v>
      </c>
      <c r="C164" s="46">
        <v>42418</v>
      </c>
      <c r="D164" s="47">
        <v>0.4375</v>
      </c>
      <c r="E164" s="48">
        <v>24</v>
      </c>
      <c r="F164" s="49">
        <v>2.4</v>
      </c>
      <c r="G164" s="49">
        <v>2.4</v>
      </c>
      <c r="H164" s="4">
        <v>4358</v>
      </c>
      <c r="I164" s="4">
        <v>3486</v>
      </c>
      <c r="J164" s="48">
        <f t="shared" si="18"/>
        <v>54.472222222222221</v>
      </c>
      <c r="K164" s="4">
        <v>7970</v>
      </c>
      <c r="L164" s="4">
        <v>57</v>
      </c>
      <c r="M164" s="50">
        <v>16.510000000000002</v>
      </c>
      <c r="N164" s="4">
        <v>36</v>
      </c>
      <c r="O164" s="4">
        <v>65</v>
      </c>
      <c r="P164" s="4">
        <v>3</v>
      </c>
      <c r="Q164" s="4">
        <v>1</v>
      </c>
      <c r="R164" s="4">
        <v>0</v>
      </c>
      <c r="S164" s="4">
        <v>0</v>
      </c>
      <c r="T164" s="51">
        <v>0</v>
      </c>
      <c r="U164" s="51">
        <v>0</v>
      </c>
      <c r="V164" s="51">
        <v>0</v>
      </c>
      <c r="W164" s="4">
        <f t="shared" si="13"/>
        <v>5.50739418663947E-2</v>
      </c>
      <c r="X164" s="4">
        <f t="shared" si="14"/>
        <v>1.8357980622131564E-2</v>
      </c>
      <c r="Y164" s="4">
        <f t="shared" si="15"/>
        <v>0</v>
      </c>
      <c r="Z164" s="4">
        <f t="shared" si="16"/>
        <v>0</v>
      </c>
      <c r="AA164" s="4">
        <f t="shared" si="17"/>
        <v>0</v>
      </c>
    </row>
    <row r="165" spans="1:28">
      <c r="A165" s="46">
        <v>42418</v>
      </c>
      <c r="B165" s="47">
        <v>0.4375</v>
      </c>
      <c r="C165" s="46">
        <v>42419</v>
      </c>
      <c r="D165" s="47">
        <v>0.45833333333333331</v>
      </c>
      <c r="E165" s="48">
        <v>23.5</v>
      </c>
      <c r="F165" s="49">
        <v>2.2999999999999998</v>
      </c>
      <c r="G165" s="49">
        <v>2.2000000000000002</v>
      </c>
      <c r="H165" s="4">
        <v>4192</v>
      </c>
      <c r="I165" s="4">
        <v>3526</v>
      </c>
      <c r="J165" s="48">
        <f t="shared" si="18"/>
        <v>57.088932806324109</v>
      </c>
      <c r="K165" s="4">
        <v>8370</v>
      </c>
      <c r="L165" s="4">
        <v>55</v>
      </c>
      <c r="M165" s="50">
        <v>16.489999999999998</v>
      </c>
      <c r="N165" s="4">
        <v>56</v>
      </c>
      <c r="O165" s="4">
        <v>56</v>
      </c>
      <c r="P165" s="4">
        <v>0</v>
      </c>
      <c r="Q165" s="4">
        <v>1</v>
      </c>
      <c r="R165" s="4">
        <v>0</v>
      </c>
      <c r="S165" s="4">
        <v>0</v>
      </c>
      <c r="T165" s="51">
        <v>0</v>
      </c>
      <c r="U165" s="51">
        <v>0</v>
      </c>
      <c r="V165" s="51">
        <v>0</v>
      </c>
      <c r="W165" s="4">
        <f t="shared" si="13"/>
        <v>0</v>
      </c>
      <c r="X165" s="4">
        <f t="shared" si="14"/>
        <v>1.7516529926956764E-2</v>
      </c>
      <c r="Y165" s="4">
        <f t="shared" si="15"/>
        <v>0</v>
      </c>
      <c r="Z165" s="4">
        <f t="shared" si="16"/>
        <v>0</v>
      </c>
      <c r="AA165" s="4">
        <f t="shared" si="17"/>
        <v>0</v>
      </c>
    </row>
    <row r="166" spans="1:28">
      <c r="A166" s="46">
        <v>42419</v>
      </c>
      <c r="B166" s="47">
        <v>0.45833333333333331</v>
      </c>
      <c r="C166" s="46">
        <v>42420</v>
      </c>
      <c r="D166" s="47">
        <v>0.41666666666666669</v>
      </c>
      <c r="E166" s="48">
        <v>23</v>
      </c>
      <c r="F166" s="49">
        <v>2.1</v>
      </c>
      <c r="G166" s="49">
        <v>2.8</v>
      </c>
      <c r="H166" s="4">
        <v>4267</v>
      </c>
      <c r="I166" s="4">
        <v>3547</v>
      </c>
      <c r="J166" s="48">
        <f t="shared" si="18"/>
        <v>54.978174603174601</v>
      </c>
      <c r="K166" s="4">
        <v>9920</v>
      </c>
      <c r="L166" s="4">
        <v>54</v>
      </c>
      <c r="M166" s="50">
        <v>15.64</v>
      </c>
      <c r="N166" s="4">
        <v>34</v>
      </c>
      <c r="O166" s="4">
        <v>47</v>
      </c>
      <c r="P166" s="4">
        <v>2</v>
      </c>
      <c r="Q166" s="4">
        <v>0</v>
      </c>
      <c r="R166" s="4">
        <v>0</v>
      </c>
      <c r="S166" s="4">
        <v>0</v>
      </c>
      <c r="T166" s="51">
        <v>0</v>
      </c>
      <c r="U166" s="51">
        <v>0</v>
      </c>
      <c r="V166" s="51">
        <v>0</v>
      </c>
      <c r="W166" s="4">
        <f t="shared" si="13"/>
        <v>3.6378072106535785E-2</v>
      </c>
      <c r="X166" s="4">
        <f t="shared" si="14"/>
        <v>0</v>
      </c>
      <c r="Y166" s="4">
        <f t="shared" si="15"/>
        <v>0</v>
      </c>
      <c r="Z166" s="4">
        <f t="shared" si="16"/>
        <v>0</v>
      </c>
      <c r="AA166" s="4">
        <f t="shared" si="17"/>
        <v>0</v>
      </c>
    </row>
    <row r="167" spans="1:28">
      <c r="A167" s="46">
        <v>42420</v>
      </c>
      <c r="B167" s="47">
        <v>0.40625</v>
      </c>
      <c r="C167" s="46">
        <v>42421</v>
      </c>
      <c r="D167" s="47">
        <v>0.42708333333333331</v>
      </c>
      <c r="E167" s="48">
        <v>24.5</v>
      </c>
      <c r="F167" s="49">
        <v>2.7</v>
      </c>
      <c r="G167" s="49">
        <v>2.7</v>
      </c>
      <c r="H167" s="4">
        <v>4531</v>
      </c>
      <c r="I167" s="4">
        <v>1530</v>
      </c>
      <c r="J167" s="48">
        <f t="shared" si="18"/>
        <v>37.413580246913583</v>
      </c>
      <c r="K167" s="4">
        <v>10300</v>
      </c>
      <c r="L167" s="4">
        <v>52</v>
      </c>
      <c r="M167" s="50">
        <v>20.6</v>
      </c>
      <c r="N167" s="4">
        <v>42</v>
      </c>
      <c r="O167" s="4">
        <v>50</v>
      </c>
      <c r="P167" s="4">
        <v>3</v>
      </c>
      <c r="Q167" s="4">
        <v>0</v>
      </c>
      <c r="R167" s="4">
        <v>0</v>
      </c>
      <c r="S167" s="4">
        <v>0</v>
      </c>
      <c r="T167" s="51">
        <v>0</v>
      </c>
      <c r="U167" s="51">
        <v>0</v>
      </c>
      <c r="V167" s="51">
        <v>0</v>
      </c>
      <c r="W167" s="4">
        <f t="shared" si="13"/>
        <v>8.0184787988780717E-2</v>
      </c>
      <c r="X167" s="4">
        <f t="shared" si="14"/>
        <v>0</v>
      </c>
      <c r="Y167" s="4">
        <f t="shared" si="15"/>
        <v>0</v>
      </c>
      <c r="Z167" s="4">
        <f t="shared" si="16"/>
        <v>0</v>
      </c>
      <c r="AA167" s="4">
        <f t="shared" si="17"/>
        <v>0</v>
      </c>
    </row>
    <row r="168" spans="1:28">
      <c r="A168" s="46">
        <v>42421</v>
      </c>
      <c r="B168" s="47">
        <v>0.42708333333333331</v>
      </c>
      <c r="C168" s="46">
        <v>42422</v>
      </c>
      <c r="D168" s="47">
        <v>0.40625</v>
      </c>
      <c r="E168" s="48">
        <v>23.5</v>
      </c>
      <c r="F168" s="49">
        <v>2.6</v>
      </c>
      <c r="G168" s="49">
        <v>2.9</v>
      </c>
      <c r="H168" s="4">
        <v>4533</v>
      </c>
      <c r="I168" s="4">
        <v>3775</v>
      </c>
      <c r="J168" s="48">
        <f t="shared" si="18"/>
        <v>50.753094606542874</v>
      </c>
      <c r="K168" s="4">
        <v>9880</v>
      </c>
      <c r="L168" s="4">
        <v>52</v>
      </c>
      <c r="M168" s="50">
        <v>15.62</v>
      </c>
      <c r="N168" s="4">
        <v>36</v>
      </c>
      <c r="O168" s="4">
        <v>44</v>
      </c>
      <c r="P168" s="4">
        <v>6</v>
      </c>
      <c r="Q168" s="4">
        <v>0</v>
      </c>
      <c r="R168" s="4">
        <v>0</v>
      </c>
      <c r="S168" s="4">
        <v>0</v>
      </c>
      <c r="T168" s="51">
        <v>1</v>
      </c>
      <c r="U168" s="51">
        <v>0</v>
      </c>
      <c r="V168" s="51">
        <v>0</v>
      </c>
      <c r="W168" s="4">
        <f t="shared" si="13"/>
        <v>0.11821939226591525</v>
      </c>
      <c r="X168" s="4">
        <f t="shared" si="14"/>
        <v>0</v>
      </c>
      <c r="Y168" s="4">
        <f t="shared" si="15"/>
        <v>0</v>
      </c>
      <c r="Z168" s="4">
        <f t="shared" si="16"/>
        <v>0</v>
      </c>
      <c r="AA168" s="4">
        <f t="shared" si="17"/>
        <v>0</v>
      </c>
      <c r="AB168" s="4" t="s">
        <v>49</v>
      </c>
    </row>
    <row r="169" spans="1:28">
      <c r="A169" s="46">
        <v>42422</v>
      </c>
      <c r="B169" s="47">
        <v>0.40625</v>
      </c>
      <c r="C169" s="46">
        <v>42423</v>
      </c>
      <c r="D169" s="47">
        <v>0.39583333333333331</v>
      </c>
      <c r="E169" s="48">
        <v>23.75</v>
      </c>
      <c r="F169" s="49">
        <v>0</v>
      </c>
      <c r="G169" s="49">
        <v>2.9</v>
      </c>
      <c r="H169" s="4">
        <v>0</v>
      </c>
      <c r="I169" s="4">
        <v>3976</v>
      </c>
      <c r="J169" s="48">
        <v>23.75</v>
      </c>
      <c r="K169" s="4">
        <v>9290</v>
      </c>
      <c r="L169" s="4">
        <v>56</v>
      </c>
      <c r="M169" s="50">
        <v>20.5</v>
      </c>
      <c r="N169" s="4">
        <v>39</v>
      </c>
      <c r="O169" s="4">
        <v>54</v>
      </c>
      <c r="P169" s="4">
        <v>2</v>
      </c>
      <c r="Q169" s="4">
        <v>0</v>
      </c>
      <c r="R169" s="4">
        <v>0</v>
      </c>
      <c r="S169" s="4">
        <v>0</v>
      </c>
      <c r="T169" s="51">
        <v>0</v>
      </c>
      <c r="U169" s="51">
        <v>0</v>
      </c>
      <c r="V169" s="51">
        <v>1</v>
      </c>
      <c r="W169" s="4">
        <f t="shared" si="13"/>
        <v>8.4210526315789472E-2</v>
      </c>
      <c r="X169" s="4">
        <f t="shared" si="14"/>
        <v>0</v>
      </c>
      <c r="Y169" s="4">
        <f t="shared" si="15"/>
        <v>0</v>
      </c>
      <c r="Z169" s="4">
        <f t="shared" si="16"/>
        <v>0</v>
      </c>
      <c r="AA169" s="4">
        <f t="shared" si="17"/>
        <v>0</v>
      </c>
      <c r="AB169" s="4" t="s">
        <v>50</v>
      </c>
    </row>
    <row r="170" spans="1:28">
      <c r="A170" s="46">
        <v>42423</v>
      </c>
      <c r="B170" s="47">
        <v>0.39583333333333331</v>
      </c>
      <c r="C170" s="46">
        <v>42424</v>
      </c>
      <c r="D170" s="47">
        <v>0.41666666666666669</v>
      </c>
      <c r="E170" s="48">
        <v>24.5</v>
      </c>
      <c r="F170" s="49">
        <v>2.5</v>
      </c>
      <c r="G170" s="49">
        <v>2.6</v>
      </c>
      <c r="H170" s="4">
        <v>4445</v>
      </c>
      <c r="I170" s="4">
        <v>3753</v>
      </c>
      <c r="J170" s="48">
        <f t="shared" ref="J170:J181" si="19" xml:space="preserve"> (((H170/F170)+(I170/G170))/60)</f>
        <v>53.691025641025632</v>
      </c>
      <c r="K170" s="4">
        <v>8780</v>
      </c>
      <c r="L170" s="4">
        <v>54</v>
      </c>
      <c r="M170" s="50">
        <v>15.19</v>
      </c>
      <c r="N170" s="4">
        <v>25</v>
      </c>
      <c r="O170" s="4">
        <v>54</v>
      </c>
      <c r="P170" s="4">
        <v>6</v>
      </c>
      <c r="Q170" s="4">
        <v>0</v>
      </c>
      <c r="R170" s="4">
        <v>0</v>
      </c>
      <c r="S170" s="4">
        <v>0</v>
      </c>
      <c r="T170" s="51">
        <v>16</v>
      </c>
      <c r="U170" s="51">
        <v>0</v>
      </c>
      <c r="V170" s="51">
        <v>0</v>
      </c>
      <c r="W170" s="4">
        <f t="shared" si="13"/>
        <v>0.11175051935337522</v>
      </c>
      <c r="X170" s="4">
        <f t="shared" si="14"/>
        <v>0</v>
      </c>
      <c r="Y170" s="4">
        <f t="shared" si="15"/>
        <v>0</v>
      </c>
      <c r="Z170" s="4">
        <f t="shared" si="16"/>
        <v>0</v>
      </c>
      <c r="AA170" s="4">
        <f t="shared" si="17"/>
        <v>0</v>
      </c>
      <c r="AB170" s="4" t="s">
        <v>51</v>
      </c>
    </row>
    <row r="171" spans="1:28">
      <c r="A171" s="46">
        <v>42424</v>
      </c>
      <c r="B171" s="47">
        <v>0.39583333333333331</v>
      </c>
      <c r="C171" s="46">
        <v>42425</v>
      </c>
      <c r="D171" s="47">
        <v>0.40625</v>
      </c>
      <c r="E171" s="48">
        <v>24.25</v>
      </c>
      <c r="F171" s="49">
        <v>2.4</v>
      </c>
      <c r="G171" s="49">
        <v>2.7</v>
      </c>
      <c r="H171" s="4">
        <v>1371</v>
      </c>
      <c r="I171" s="4">
        <v>3642</v>
      </c>
      <c r="J171" s="48">
        <f t="shared" si="19"/>
        <v>32.00231481481481</v>
      </c>
      <c r="K171" s="4">
        <v>8220</v>
      </c>
      <c r="L171" s="4">
        <v>58</v>
      </c>
      <c r="M171" s="50">
        <v>13.25</v>
      </c>
      <c r="N171" s="4">
        <v>40</v>
      </c>
      <c r="O171" s="4">
        <v>55</v>
      </c>
      <c r="P171" s="4">
        <v>7</v>
      </c>
      <c r="Q171" s="4">
        <v>0</v>
      </c>
      <c r="R171" s="4">
        <v>0</v>
      </c>
      <c r="S171" s="4">
        <v>0</v>
      </c>
      <c r="T171" s="51">
        <v>7</v>
      </c>
      <c r="U171" s="51">
        <v>0</v>
      </c>
      <c r="V171" s="51">
        <v>0</v>
      </c>
      <c r="W171" s="4">
        <f t="shared" si="13"/>
        <v>0.2187341772151899</v>
      </c>
      <c r="X171" s="4">
        <f t="shared" si="14"/>
        <v>0</v>
      </c>
      <c r="Y171" s="4">
        <f t="shared" si="15"/>
        <v>0</v>
      </c>
      <c r="Z171" s="4">
        <f t="shared" si="16"/>
        <v>0</v>
      </c>
      <c r="AA171" s="4">
        <f t="shared" si="17"/>
        <v>0</v>
      </c>
      <c r="AB171" s="4" t="s">
        <v>52</v>
      </c>
    </row>
    <row r="172" spans="1:28">
      <c r="A172" s="46">
        <v>42425</v>
      </c>
      <c r="B172" s="47">
        <v>0.40625</v>
      </c>
      <c r="C172" s="46">
        <v>42426</v>
      </c>
      <c r="D172" s="47">
        <v>0.42708333333333331</v>
      </c>
      <c r="E172" s="48">
        <v>24.5</v>
      </c>
      <c r="F172" s="49">
        <v>2.4</v>
      </c>
      <c r="G172" s="49">
        <v>2.4</v>
      </c>
      <c r="H172" s="4">
        <v>0</v>
      </c>
      <c r="I172" s="4">
        <v>3546</v>
      </c>
      <c r="J172" s="48">
        <f t="shared" si="19"/>
        <v>24.625</v>
      </c>
      <c r="K172" s="4">
        <v>7810</v>
      </c>
      <c r="L172" s="4">
        <v>55</v>
      </c>
      <c r="M172" s="50">
        <v>11.1</v>
      </c>
      <c r="N172" s="4">
        <v>40</v>
      </c>
      <c r="O172" s="4">
        <v>57</v>
      </c>
      <c r="P172" s="4">
        <v>5</v>
      </c>
      <c r="Q172" s="4">
        <v>0</v>
      </c>
      <c r="R172" s="4">
        <v>1</v>
      </c>
      <c r="S172" s="4">
        <v>0</v>
      </c>
      <c r="T172" s="51">
        <v>8</v>
      </c>
      <c r="U172" s="51">
        <v>0</v>
      </c>
      <c r="V172" s="51">
        <v>1</v>
      </c>
      <c r="W172" s="4">
        <f t="shared" si="13"/>
        <v>0.20304568527918782</v>
      </c>
      <c r="X172" s="4">
        <f t="shared" si="14"/>
        <v>0</v>
      </c>
      <c r="Y172" s="4">
        <f t="shared" si="15"/>
        <v>4.060913705583756E-2</v>
      </c>
      <c r="Z172" s="4">
        <f t="shared" si="16"/>
        <v>0</v>
      </c>
      <c r="AA172" s="4">
        <f t="shared" si="17"/>
        <v>0</v>
      </c>
      <c r="AB172" s="4" t="s">
        <v>53</v>
      </c>
    </row>
    <row r="173" spans="1:28">
      <c r="A173" s="46">
        <v>42426</v>
      </c>
      <c r="B173" s="47">
        <v>0.42708333333333331</v>
      </c>
      <c r="C173" s="46">
        <v>42427</v>
      </c>
      <c r="D173" s="47">
        <v>0.39583333333333331</v>
      </c>
      <c r="E173" s="48">
        <v>23.25</v>
      </c>
      <c r="F173" s="49">
        <v>2.2000000000000002</v>
      </c>
      <c r="G173" s="49">
        <v>2.4</v>
      </c>
      <c r="H173" s="4">
        <v>0</v>
      </c>
      <c r="I173" s="4">
        <v>3276</v>
      </c>
      <c r="J173" s="48">
        <f t="shared" si="19"/>
        <v>22.75</v>
      </c>
      <c r="K173" s="4">
        <v>7340</v>
      </c>
      <c r="L173" s="4">
        <v>56</v>
      </c>
      <c r="M173" s="50">
        <v>13.5</v>
      </c>
      <c r="N173" s="4">
        <v>46</v>
      </c>
      <c r="O173" s="4">
        <v>62</v>
      </c>
      <c r="P173" s="4">
        <v>6</v>
      </c>
      <c r="Q173" s="4">
        <v>1</v>
      </c>
      <c r="R173" s="4">
        <v>0</v>
      </c>
      <c r="S173" s="4">
        <v>0</v>
      </c>
      <c r="T173" s="51">
        <v>4</v>
      </c>
      <c r="U173" s="51">
        <v>0</v>
      </c>
      <c r="V173" s="51">
        <v>0</v>
      </c>
      <c r="W173" s="4">
        <f t="shared" si="13"/>
        <v>0.26373626373626374</v>
      </c>
      <c r="X173" s="4">
        <f t="shared" si="14"/>
        <v>4.3956043956043959E-2</v>
      </c>
      <c r="Y173" s="4">
        <f t="shared" si="15"/>
        <v>0</v>
      </c>
      <c r="Z173" s="4">
        <f t="shared" si="16"/>
        <v>0</v>
      </c>
      <c r="AA173" s="4">
        <f t="shared" si="17"/>
        <v>0</v>
      </c>
      <c r="AB173" s="4" t="s">
        <v>54</v>
      </c>
    </row>
    <row r="174" spans="1:28">
      <c r="A174" s="46">
        <v>42427</v>
      </c>
      <c r="B174" s="47">
        <v>0.39583333333333331</v>
      </c>
      <c r="C174" s="46">
        <v>42428</v>
      </c>
      <c r="D174" s="47">
        <v>0.38541666666666669</v>
      </c>
      <c r="E174" s="48">
        <v>23.75</v>
      </c>
      <c r="F174" s="49">
        <v>2.2999999999999998</v>
      </c>
      <c r="G174" s="49">
        <v>2.4</v>
      </c>
      <c r="H174" s="4">
        <v>2931</v>
      </c>
      <c r="I174" s="4">
        <v>3327</v>
      </c>
      <c r="J174" s="48">
        <f t="shared" si="19"/>
        <v>44.343297101449281</v>
      </c>
      <c r="K174" s="4">
        <v>7290</v>
      </c>
      <c r="L174" s="4">
        <v>56</v>
      </c>
      <c r="M174" s="50">
        <v>11.37</v>
      </c>
      <c r="N174" s="4">
        <v>40</v>
      </c>
      <c r="O174" s="4">
        <v>59</v>
      </c>
      <c r="P174" s="4">
        <v>2</v>
      </c>
      <c r="Q174" s="4">
        <v>1</v>
      </c>
      <c r="R174" s="4">
        <v>0</v>
      </c>
      <c r="S174" s="4">
        <v>0</v>
      </c>
      <c r="T174" s="51">
        <v>6</v>
      </c>
      <c r="U174" s="51">
        <v>0</v>
      </c>
      <c r="V174" s="51">
        <v>0</v>
      </c>
      <c r="W174" s="4">
        <f t="shared" si="13"/>
        <v>4.5102645286487587E-2</v>
      </c>
      <c r="X174" s="4">
        <f t="shared" si="14"/>
        <v>2.2551322643243794E-2</v>
      </c>
      <c r="Y174" s="4">
        <f t="shared" si="15"/>
        <v>0</v>
      </c>
      <c r="Z174" s="4">
        <f t="shared" si="16"/>
        <v>0</v>
      </c>
      <c r="AA174" s="4">
        <f t="shared" si="17"/>
        <v>0</v>
      </c>
    </row>
    <row r="175" spans="1:28">
      <c r="A175" s="46">
        <v>42428</v>
      </c>
      <c r="B175" s="47">
        <v>0.375</v>
      </c>
      <c r="C175" s="46">
        <v>42429</v>
      </c>
      <c r="D175" s="47">
        <v>0.45833333333333331</v>
      </c>
      <c r="E175" s="48">
        <v>26</v>
      </c>
      <c r="F175" s="49">
        <v>2.2999999999999998</v>
      </c>
      <c r="G175" s="49">
        <v>2.2999999999999998</v>
      </c>
      <c r="H175" s="4">
        <v>3296</v>
      </c>
      <c r="I175" s="4">
        <v>3531</v>
      </c>
      <c r="J175" s="48">
        <f t="shared" si="19"/>
        <v>49.471014492753632</v>
      </c>
      <c r="K175" s="4">
        <v>7250</v>
      </c>
      <c r="L175" s="4">
        <v>57</v>
      </c>
      <c r="M175" s="50">
        <v>12.44</v>
      </c>
      <c r="N175" s="4">
        <v>39</v>
      </c>
      <c r="O175" s="4">
        <v>49</v>
      </c>
      <c r="P175" s="4">
        <v>7</v>
      </c>
      <c r="Q175" s="4">
        <v>0</v>
      </c>
      <c r="R175" s="4">
        <v>0</v>
      </c>
      <c r="S175" s="4">
        <v>0</v>
      </c>
      <c r="T175" s="51">
        <v>2</v>
      </c>
      <c r="U175" s="51">
        <v>0</v>
      </c>
      <c r="V175" s="51">
        <v>0</v>
      </c>
      <c r="W175" s="4">
        <f t="shared" si="13"/>
        <v>0.14149699721693274</v>
      </c>
      <c r="X175" s="4">
        <f t="shared" si="14"/>
        <v>0</v>
      </c>
      <c r="Y175" s="4">
        <f t="shared" si="15"/>
        <v>0</v>
      </c>
      <c r="Z175" s="4">
        <f t="shared" si="16"/>
        <v>0</v>
      </c>
      <c r="AA175" s="4">
        <f t="shared" si="17"/>
        <v>0</v>
      </c>
    </row>
    <row r="176" spans="1:28">
      <c r="A176" s="46">
        <v>42429</v>
      </c>
      <c r="B176" s="47">
        <v>0.38541666666666669</v>
      </c>
      <c r="C176" s="46">
        <v>42430</v>
      </c>
      <c r="D176" s="47">
        <v>0.42708333333333331</v>
      </c>
      <c r="E176" s="48">
        <v>25</v>
      </c>
      <c r="F176" s="49">
        <v>2.1</v>
      </c>
      <c r="G176" s="49">
        <v>2.2000000000000002</v>
      </c>
      <c r="H176" s="4">
        <v>3038</v>
      </c>
      <c r="I176" s="4">
        <v>3924</v>
      </c>
      <c r="J176" s="48">
        <f t="shared" si="19"/>
        <v>53.838383838383834</v>
      </c>
      <c r="K176" s="4">
        <v>7150</v>
      </c>
      <c r="L176" s="4">
        <v>56</v>
      </c>
      <c r="M176" s="50">
        <v>6.52</v>
      </c>
      <c r="N176" s="4">
        <v>0</v>
      </c>
      <c r="O176" s="4">
        <v>0</v>
      </c>
      <c r="P176" s="4">
        <v>0</v>
      </c>
      <c r="Q176" s="4">
        <v>0</v>
      </c>
      <c r="R176" s="4">
        <v>0</v>
      </c>
      <c r="S176" s="4">
        <v>0</v>
      </c>
      <c r="T176" s="51">
        <v>1</v>
      </c>
      <c r="U176" s="51">
        <v>0</v>
      </c>
      <c r="V176" s="51">
        <v>0</v>
      </c>
      <c r="W176" s="4">
        <f t="shared" si="13"/>
        <v>0</v>
      </c>
      <c r="X176" s="4">
        <f t="shared" si="14"/>
        <v>0</v>
      </c>
      <c r="Y176" s="4">
        <f t="shared" si="15"/>
        <v>0</v>
      </c>
      <c r="Z176" s="4">
        <f t="shared" si="16"/>
        <v>0</v>
      </c>
      <c r="AA176" s="4">
        <f t="shared" si="17"/>
        <v>0</v>
      </c>
    </row>
    <row r="177" spans="1:28">
      <c r="A177" s="46">
        <v>42430</v>
      </c>
      <c r="B177" s="47">
        <v>0.42708333333333331</v>
      </c>
      <c r="C177" s="46">
        <v>42431</v>
      </c>
      <c r="D177" s="47">
        <v>0.4375</v>
      </c>
      <c r="E177" s="48">
        <v>24.25</v>
      </c>
      <c r="F177" s="49">
        <v>2</v>
      </c>
      <c r="G177" s="49">
        <v>2.2000000000000002</v>
      </c>
      <c r="H177" s="4">
        <v>3038</v>
      </c>
      <c r="I177" s="4">
        <v>3280</v>
      </c>
      <c r="J177" s="48">
        <f t="shared" si="19"/>
        <v>50.165151515151514</v>
      </c>
      <c r="K177" s="4">
        <v>7000</v>
      </c>
      <c r="L177" s="4">
        <v>58</v>
      </c>
      <c r="M177" s="50">
        <v>10.35</v>
      </c>
      <c r="N177" s="4">
        <v>53</v>
      </c>
      <c r="O177" s="4">
        <v>53</v>
      </c>
      <c r="P177" s="4">
        <v>1</v>
      </c>
      <c r="Q177" s="4">
        <v>0</v>
      </c>
      <c r="R177" s="4">
        <v>0</v>
      </c>
      <c r="S177" s="4">
        <v>0</v>
      </c>
      <c r="T177" s="51">
        <v>0</v>
      </c>
      <c r="U177" s="51">
        <v>0</v>
      </c>
      <c r="V177" s="51">
        <v>0</v>
      </c>
      <c r="W177" s="4">
        <f t="shared" si="13"/>
        <v>1.9934156875773958E-2</v>
      </c>
      <c r="X177" s="4">
        <f t="shared" si="14"/>
        <v>0</v>
      </c>
      <c r="Y177" s="4">
        <f t="shared" si="15"/>
        <v>0</v>
      </c>
      <c r="Z177" s="4">
        <f t="shared" si="16"/>
        <v>0</v>
      </c>
      <c r="AA177" s="4">
        <f t="shared" si="17"/>
        <v>0</v>
      </c>
    </row>
    <row r="178" spans="1:28">
      <c r="A178" s="46">
        <v>42431</v>
      </c>
      <c r="B178" s="47">
        <v>0.4375</v>
      </c>
      <c r="C178" s="46">
        <v>42432</v>
      </c>
      <c r="D178" s="47">
        <v>0.42708333333333331</v>
      </c>
      <c r="E178" s="48">
        <v>23.75</v>
      </c>
      <c r="F178" s="49">
        <v>2.2000000000000002</v>
      </c>
      <c r="G178" s="49">
        <v>2.2999999999999998</v>
      </c>
      <c r="H178" s="4">
        <v>2995</v>
      </c>
      <c r="I178" s="4">
        <v>3223</v>
      </c>
      <c r="J178" s="48">
        <f t="shared" si="19"/>
        <v>46.044466403162048</v>
      </c>
      <c r="K178" s="4">
        <v>6840</v>
      </c>
      <c r="L178" s="4">
        <v>58</v>
      </c>
      <c r="M178" s="50">
        <v>9</v>
      </c>
      <c r="N178" s="4">
        <v>0</v>
      </c>
      <c r="O178" s="4">
        <v>0</v>
      </c>
      <c r="P178" s="4">
        <v>0</v>
      </c>
      <c r="Q178" s="4">
        <v>0</v>
      </c>
      <c r="R178" s="4">
        <v>0</v>
      </c>
      <c r="S178" s="4">
        <v>0</v>
      </c>
      <c r="T178" s="51">
        <v>0</v>
      </c>
      <c r="U178" s="51">
        <v>0</v>
      </c>
      <c r="V178" s="51">
        <v>0</v>
      </c>
      <c r="W178" s="4">
        <f t="shared" si="13"/>
        <v>0</v>
      </c>
      <c r="X178" s="4">
        <f t="shared" si="14"/>
        <v>0</v>
      </c>
      <c r="Y178" s="4">
        <f t="shared" si="15"/>
        <v>0</v>
      </c>
      <c r="Z178" s="4">
        <f t="shared" si="16"/>
        <v>0</v>
      </c>
      <c r="AA178" s="4">
        <f t="shared" si="17"/>
        <v>0</v>
      </c>
    </row>
    <row r="179" spans="1:28">
      <c r="A179" s="46">
        <v>42432</v>
      </c>
      <c r="B179" s="47">
        <v>0.42708333333333331</v>
      </c>
      <c r="C179" s="46">
        <v>42433</v>
      </c>
      <c r="D179" s="47">
        <v>0.40625</v>
      </c>
      <c r="E179" s="48">
        <v>23.5</v>
      </c>
      <c r="F179" s="49">
        <v>1.9</v>
      </c>
      <c r="G179" s="49">
        <v>2.1</v>
      </c>
      <c r="H179" s="4">
        <v>2864</v>
      </c>
      <c r="I179" s="4">
        <v>3190</v>
      </c>
      <c r="J179" s="48">
        <f t="shared" si="19"/>
        <v>50.440267335004179</v>
      </c>
      <c r="K179" s="4">
        <v>6920</v>
      </c>
      <c r="L179" s="4">
        <v>58</v>
      </c>
      <c r="M179" s="50">
        <v>7.8</v>
      </c>
      <c r="N179" s="4">
        <v>62</v>
      </c>
      <c r="O179" s="4">
        <v>62</v>
      </c>
      <c r="P179" s="4">
        <v>0</v>
      </c>
      <c r="Q179" s="4">
        <v>1</v>
      </c>
      <c r="R179" s="4">
        <v>0</v>
      </c>
      <c r="S179" s="4">
        <v>0</v>
      </c>
      <c r="T179" s="51">
        <v>0</v>
      </c>
      <c r="U179" s="51">
        <v>0</v>
      </c>
      <c r="V179" s="51">
        <v>0</v>
      </c>
      <c r="W179" s="4">
        <f t="shared" si="13"/>
        <v>0</v>
      </c>
      <c r="X179" s="4">
        <f t="shared" si="14"/>
        <v>1.9825430213491892E-2</v>
      </c>
      <c r="Y179" s="4">
        <f t="shared" si="15"/>
        <v>0</v>
      </c>
      <c r="Z179" s="4">
        <f t="shared" si="16"/>
        <v>0</v>
      </c>
      <c r="AA179" s="4">
        <f t="shared" si="17"/>
        <v>0</v>
      </c>
    </row>
    <row r="180" spans="1:28">
      <c r="A180" s="46">
        <v>42433</v>
      </c>
      <c r="B180" s="47">
        <v>0.39583333333333331</v>
      </c>
      <c r="C180" s="46">
        <v>42434</v>
      </c>
      <c r="D180" s="47">
        <v>0.36458333333333331</v>
      </c>
      <c r="E180" s="48">
        <v>23.25</v>
      </c>
      <c r="F180" s="49">
        <v>1.8</v>
      </c>
      <c r="G180" s="49">
        <v>2</v>
      </c>
      <c r="H180" s="4">
        <v>2697</v>
      </c>
      <c r="I180" s="4">
        <v>2838</v>
      </c>
      <c r="J180" s="48">
        <f t="shared" si="19"/>
        <v>48.62222222222222</v>
      </c>
      <c r="K180" s="4">
        <v>7070</v>
      </c>
      <c r="L180" s="4">
        <v>58</v>
      </c>
      <c r="M180" s="50">
        <v>8.5</v>
      </c>
      <c r="N180" s="4">
        <v>0</v>
      </c>
      <c r="O180" s="4">
        <v>0</v>
      </c>
      <c r="P180" s="4">
        <v>0</v>
      </c>
      <c r="Q180" s="4">
        <v>0</v>
      </c>
      <c r="R180" s="4">
        <v>0</v>
      </c>
      <c r="S180" s="4">
        <v>0</v>
      </c>
      <c r="T180" s="51">
        <v>1</v>
      </c>
      <c r="U180" s="51">
        <v>0</v>
      </c>
      <c r="V180" s="51">
        <v>0</v>
      </c>
      <c r="W180" s="4">
        <f t="shared" si="13"/>
        <v>0</v>
      </c>
      <c r="X180" s="4">
        <f t="shared" si="14"/>
        <v>0</v>
      </c>
      <c r="Y180" s="4">
        <f t="shared" si="15"/>
        <v>0</v>
      </c>
      <c r="Z180" s="4">
        <f t="shared" si="16"/>
        <v>0</v>
      </c>
      <c r="AA180" s="4">
        <f t="shared" si="17"/>
        <v>0</v>
      </c>
    </row>
    <row r="181" spans="1:28">
      <c r="A181" s="46">
        <v>42434</v>
      </c>
      <c r="B181" s="47">
        <v>0.36458333333333331</v>
      </c>
      <c r="C181" s="46">
        <v>42435</v>
      </c>
      <c r="D181" s="47">
        <v>0.39583333333333331</v>
      </c>
      <c r="E181" s="48">
        <v>24.75</v>
      </c>
      <c r="F181" s="49">
        <v>1.6</v>
      </c>
      <c r="G181" s="49">
        <v>1.9</v>
      </c>
      <c r="H181" s="4">
        <v>2371</v>
      </c>
      <c r="I181" s="4">
        <v>2567</v>
      </c>
      <c r="J181" s="48">
        <f t="shared" si="19"/>
        <v>47.215460526315795</v>
      </c>
      <c r="K181" s="4">
        <v>7730</v>
      </c>
      <c r="L181" s="4">
        <v>57</v>
      </c>
      <c r="M181" s="50">
        <v>14.35</v>
      </c>
      <c r="N181" s="4">
        <v>46</v>
      </c>
      <c r="O181" s="4">
        <v>47</v>
      </c>
      <c r="P181" s="4">
        <v>2</v>
      </c>
      <c r="Q181" s="4">
        <v>0</v>
      </c>
      <c r="R181" s="4">
        <v>0</v>
      </c>
      <c r="S181" s="4">
        <v>0</v>
      </c>
      <c r="T181" s="51">
        <v>3</v>
      </c>
      <c r="U181" s="51">
        <v>0</v>
      </c>
      <c r="V181" s="51">
        <v>0</v>
      </c>
      <c r="W181" s="4">
        <f t="shared" si="13"/>
        <v>4.2359006514090636E-2</v>
      </c>
      <c r="X181" s="4">
        <f t="shared" si="14"/>
        <v>0</v>
      </c>
      <c r="Y181" s="4">
        <f t="shared" si="15"/>
        <v>0</v>
      </c>
      <c r="Z181" s="4">
        <f t="shared" si="16"/>
        <v>0</v>
      </c>
      <c r="AA181" s="4">
        <f t="shared" si="17"/>
        <v>0</v>
      </c>
    </row>
    <row r="182" spans="1:28">
      <c r="A182" s="46">
        <v>42435</v>
      </c>
      <c r="B182" s="47">
        <v>0.63541666666666663</v>
      </c>
      <c r="C182" s="46">
        <v>42436</v>
      </c>
      <c r="D182" s="47">
        <v>0.5625</v>
      </c>
      <c r="E182" s="48">
        <v>22.25</v>
      </c>
      <c r="F182" s="49">
        <v>0</v>
      </c>
      <c r="G182" s="49">
        <v>1.2</v>
      </c>
      <c r="H182" s="4">
        <v>222</v>
      </c>
      <c r="I182" s="4">
        <v>253</v>
      </c>
      <c r="J182" s="48">
        <f xml:space="preserve"> ((I182/G182)/60)</f>
        <v>3.5138888888888888</v>
      </c>
      <c r="K182" s="4">
        <v>24400</v>
      </c>
      <c r="L182" s="4">
        <v>56</v>
      </c>
      <c r="M182" s="50">
        <v>25.5</v>
      </c>
      <c r="N182" s="4">
        <v>53</v>
      </c>
      <c r="O182" s="4">
        <v>60</v>
      </c>
      <c r="P182" s="4">
        <v>5</v>
      </c>
      <c r="Q182" s="4">
        <v>0</v>
      </c>
      <c r="R182" s="4">
        <v>0</v>
      </c>
      <c r="S182" s="4">
        <v>0</v>
      </c>
      <c r="T182" s="51">
        <v>0</v>
      </c>
      <c r="U182" s="51">
        <v>0</v>
      </c>
      <c r="V182" s="51">
        <v>1</v>
      </c>
      <c r="W182" s="4">
        <f t="shared" si="13"/>
        <v>1.4229249011857708</v>
      </c>
      <c r="X182" s="4">
        <f t="shared" si="14"/>
        <v>0</v>
      </c>
      <c r="Y182" s="4">
        <f t="shared" si="15"/>
        <v>0</v>
      </c>
      <c r="Z182" s="4">
        <f t="shared" si="16"/>
        <v>0</v>
      </c>
      <c r="AA182" s="4">
        <f t="shared" si="17"/>
        <v>0</v>
      </c>
      <c r="AB182" s="4" t="s">
        <v>55</v>
      </c>
    </row>
    <row r="183" spans="1:28">
      <c r="A183" s="53">
        <v>42437</v>
      </c>
      <c r="B183" s="54">
        <v>0.57291666666666663</v>
      </c>
      <c r="C183" s="53">
        <v>42438</v>
      </c>
      <c r="D183" s="54">
        <v>0.45833333333333331</v>
      </c>
      <c r="E183" s="55">
        <v>21.25</v>
      </c>
      <c r="F183" s="56">
        <v>2.6</v>
      </c>
      <c r="G183" s="56">
        <v>2.6</v>
      </c>
      <c r="H183" s="57">
        <v>853</v>
      </c>
      <c r="I183" s="57">
        <v>2984</v>
      </c>
      <c r="J183" s="55">
        <f t="shared" ref="J183:J206" si="20" xml:space="preserve"> (((H183/F183)+(I183/G183))/60)</f>
        <v>24.596153846153847</v>
      </c>
      <c r="K183" s="57">
        <v>25300</v>
      </c>
      <c r="L183" s="57">
        <v>51</v>
      </c>
      <c r="M183" s="58">
        <v>249</v>
      </c>
      <c r="N183" s="57">
        <v>32</v>
      </c>
      <c r="O183" s="57">
        <v>91</v>
      </c>
      <c r="P183" s="57">
        <v>47</v>
      </c>
      <c r="Q183" s="57">
        <v>1</v>
      </c>
      <c r="R183" s="57">
        <v>1</v>
      </c>
      <c r="S183" s="57">
        <v>0</v>
      </c>
      <c r="T183" s="59">
        <v>2</v>
      </c>
      <c r="U183" s="59">
        <v>0</v>
      </c>
      <c r="V183" s="59">
        <v>0</v>
      </c>
      <c r="W183" s="57">
        <f t="shared" si="13"/>
        <v>1.9108678655199374</v>
      </c>
      <c r="X183" s="57">
        <f t="shared" si="14"/>
        <v>4.0656763096168884E-2</v>
      </c>
      <c r="Y183" s="57">
        <f t="shared" si="15"/>
        <v>4.0656763096168884E-2</v>
      </c>
      <c r="Z183" s="57">
        <f t="shared" si="16"/>
        <v>0</v>
      </c>
      <c r="AA183" s="57">
        <f t="shared" si="17"/>
        <v>0</v>
      </c>
      <c r="AB183" s="57" t="s">
        <v>44</v>
      </c>
    </row>
    <row r="184" spans="1:28">
      <c r="A184" s="53">
        <v>42438</v>
      </c>
      <c r="B184" s="54">
        <v>0.45833333333333331</v>
      </c>
      <c r="C184" s="53">
        <v>42439</v>
      </c>
      <c r="D184" s="54">
        <v>0.51041666666666663</v>
      </c>
      <c r="E184" s="55">
        <v>26.25</v>
      </c>
      <c r="F184" s="56">
        <v>2.2000000000000002</v>
      </c>
      <c r="G184" s="56">
        <v>2.5</v>
      </c>
      <c r="H184" s="57">
        <v>1278</v>
      </c>
      <c r="I184" s="57">
        <v>3826</v>
      </c>
      <c r="J184" s="55">
        <f t="shared" si="20"/>
        <v>35.188484848484855</v>
      </c>
      <c r="K184" s="57">
        <v>23500</v>
      </c>
      <c r="L184" s="57">
        <v>52</v>
      </c>
      <c r="M184" s="58">
        <v>69.7</v>
      </c>
      <c r="N184" s="57">
        <v>32</v>
      </c>
      <c r="O184" s="57">
        <v>64</v>
      </c>
      <c r="P184" s="57">
        <v>32</v>
      </c>
      <c r="Q184" s="57">
        <v>1</v>
      </c>
      <c r="R184" s="57">
        <v>0</v>
      </c>
      <c r="S184" s="57">
        <v>0</v>
      </c>
      <c r="T184" s="59">
        <v>1</v>
      </c>
      <c r="U184" s="59">
        <v>1</v>
      </c>
      <c r="V184" s="59">
        <v>0</v>
      </c>
      <c r="W184" s="57">
        <f t="shared" si="13"/>
        <v>0.90938840185322323</v>
      </c>
      <c r="X184" s="57">
        <f t="shared" si="14"/>
        <v>2.8418387557913226E-2</v>
      </c>
      <c r="Y184" s="57">
        <f t="shared" si="15"/>
        <v>0</v>
      </c>
      <c r="Z184" s="57">
        <f t="shared" si="16"/>
        <v>0</v>
      </c>
      <c r="AA184" s="57">
        <f t="shared" si="17"/>
        <v>2.8418387557913226E-2</v>
      </c>
      <c r="AB184" s="57" t="s">
        <v>44</v>
      </c>
    </row>
    <row r="185" spans="1:28">
      <c r="A185" s="53">
        <v>42439</v>
      </c>
      <c r="B185" s="54">
        <v>0.51041666666666663</v>
      </c>
      <c r="C185" s="53">
        <v>42440</v>
      </c>
      <c r="D185" s="54">
        <v>0.42708333333333331</v>
      </c>
      <c r="E185" s="55">
        <v>22</v>
      </c>
      <c r="F185" s="56">
        <v>2.2999999999999998</v>
      </c>
      <c r="G185" s="56">
        <v>2.4</v>
      </c>
      <c r="H185" s="57">
        <v>2836</v>
      </c>
      <c r="I185" s="57">
        <v>3172</v>
      </c>
      <c r="J185" s="55">
        <f t="shared" si="20"/>
        <v>42.578502415458942</v>
      </c>
      <c r="K185" s="57">
        <v>23800</v>
      </c>
      <c r="L185" s="57">
        <v>52</v>
      </c>
      <c r="M185" s="58">
        <v>63</v>
      </c>
      <c r="N185" s="57">
        <v>34</v>
      </c>
      <c r="O185" s="57">
        <v>65</v>
      </c>
      <c r="P185" s="57">
        <v>16</v>
      </c>
      <c r="Q185" s="57">
        <v>1</v>
      </c>
      <c r="R185" s="57">
        <v>0</v>
      </c>
      <c r="S185" s="57">
        <v>0</v>
      </c>
      <c r="T185" s="59">
        <v>0</v>
      </c>
      <c r="U185" s="59">
        <v>0</v>
      </c>
      <c r="V185" s="59">
        <v>0</v>
      </c>
      <c r="W185" s="57">
        <f t="shared" si="13"/>
        <v>0.3757764856048787</v>
      </c>
      <c r="X185" s="57">
        <f t="shared" si="14"/>
        <v>2.3486030350304919E-2</v>
      </c>
      <c r="Y185" s="57">
        <f t="shared" si="15"/>
        <v>0</v>
      </c>
      <c r="Z185" s="57">
        <f t="shared" si="16"/>
        <v>0</v>
      </c>
      <c r="AA185" s="57">
        <f t="shared" si="17"/>
        <v>0</v>
      </c>
      <c r="AB185" s="57" t="s">
        <v>44</v>
      </c>
    </row>
    <row r="186" spans="1:28">
      <c r="A186" s="53">
        <v>42440</v>
      </c>
      <c r="B186" s="54">
        <v>0.42708333333333331</v>
      </c>
      <c r="C186" s="53">
        <v>42441</v>
      </c>
      <c r="D186" s="54">
        <v>0.375</v>
      </c>
      <c r="E186" s="55">
        <v>22.75</v>
      </c>
      <c r="F186" s="56">
        <v>2.2000000000000002</v>
      </c>
      <c r="G186" s="56">
        <v>2.4</v>
      </c>
      <c r="H186" s="57">
        <v>2859</v>
      </c>
      <c r="I186" s="57">
        <v>3261</v>
      </c>
      <c r="J186" s="55">
        <f t="shared" si="20"/>
        <v>44.304924242424242</v>
      </c>
      <c r="K186" s="57">
        <v>26200</v>
      </c>
      <c r="L186" s="57">
        <v>53</v>
      </c>
      <c r="M186" s="58">
        <v>77.7</v>
      </c>
      <c r="N186" s="57">
        <v>37</v>
      </c>
      <c r="O186" s="57">
        <v>58</v>
      </c>
      <c r="P186" s="57">
        <v>8</v>
      </c>
      <c r="Q186" s="57">
        <v>0</v>
      </c>
      <c r="R186" s="57">
        <v>0</v>
      </c>
      <c r="S186" s="57">
        <v>0</v>
      </c>
      <c r="T186" s="59">
        <v>0</v>
      </c>
      <c r="U186" s="59">
        <v>1</v>
      </c>
      <c r="V186" s="59">
        <v>0</v>
      </c>
      <c r="W186" s="57">
        <f t="shared" si="13"/>
        <v>0.18056683623306116</v>
      </c>
      <c r="X186" s="57">
        <f t="shared" si="14"/>
        <v>0</v>
      </c>
      <c r="Y186" s="57">
        <f t="shared" si="15"/>
        <v>0</v>
      </c>
      <c r="Z186" s="57">
        <f t="shared" si="16"/>
        <v>0</v>
      </c>
      <c r="AA186" s="57">
        <f t="shared" si="17"/>
        <v>2.2570854529132645E-2</v>
      </c>
      <c r="AB186" s="57" t="s">
        <v>44</v>
      </c>
    </row>
    <row r="187" spans="1:28">
      <c r="A187" s="53">
        <v>42441</v>
      </c>
      <c r="B187" s="54">
        <v>0.375</v>
      </c>
      <c r="C187" s="53">
        <v>42442</v>
      </c>
      <c r="D187" s="54">
        <v>0.38541666666666669</v>
      </c>
      <c r="E187" s="55">
        <v>24.25</v>
      </c>
      <c r="F187" s="56">
        <v>2.2000000000000002</v>
      </c>
      <c r="G187" s="56">
        <v>2.6</v>
      </c>
      <c r="H187" s="57">
        <v>2594</v>
      </c>
      <c r="I187" s="57">
        <v>2739</v>
      </c>
      <c r="J187" s="55">
        <f t="shared" si="20"/>
        <v>37.209207459207455</v>
      </c>
      <c r="K187" s="57">
        <v>26800</v>
      </c>
      <c r="L187" s="57">
        <v>52</v>
      </c>
      <c r="M187" s="58">
        <v>242.5</v>
      </c>
      <c r="N187" s="57">
        <v>33</v>
      </c>
      <c r="O187" s="57">
        <v>69</v>
      </c>
      <c r="P187" s="57">
        <v>17</v>
      </c>
      <c r="Q187" s="57">
        <v>1</v>
      </c>
      <c r="R187" s="57">
        <v>0</v>
      </c>
      <c r="S187" s="57">
        <v>0</v>
      </c>
      <c r="T187" s="59">
        <v>0</v>
      </c>
      <c r="U187" s="59">
        <v>0</v>
      </c>
      <c r="V187" s="59">
        <v>0</v>
      </c>
      <c r="W187" s="57">
        <f t="shared" si="13"/>
        <v>0.45687616482122445</v>
      </c>
      <c r="X187" s="57">
        <f t="shared" si="14"/>
        <v>2.6875068518895557E-2</v>
      </c>
      <c r="Y187" s="57">
        <f t="shared" si="15"/>
        <v>0</v>
      </c>
      <c r="Z187" s="57">
        <f t="shared" si="16"/>
        <v>0</v>
      </c>
      <c r="AA187" s="57">
        <f t="shared" si="17"/>
        <v>0</v>
      </c>
      <c r="AB187" s="57" t="s">
        <v>44</v>
      </c>
    </row>
    <row r="188" spans="1:28">
      <c r="A188" s="53">
        <v>42442</v>
      </c>
      <c r="B188" s="54">
        <v>0.38541666666666669</v>
      </c>
      <c r="C188" s="53">
        <v>42443</v>
      </c>
      <c r="D188" s="54">
        <v>0.40625</v>
      </c>
      <c r="E188" s="55">
        <v>24.5</v>
      </c>
      <c r="F188" s="56">
        <v>1.8</v>
      </c>
      <c r="G188" s="56">
        <v>2.1</v>
      </c>
      <c r="H188" s="57">
        <v>2608</v>
      </c>
      <c r="I188" s="57">
        <v>2675</v>
      </c>
      <c r="J188" s="55">
        <f t="shared" si="20"/>
        <v>45.378306878306873</v>
      </c>
      <c r="K188" s="57">
        <v>27100</v>
      </c>
      <c r="L188" s="57">
        <v>52</v>
      </c>
      <c r="M188" s="58">
        <v>252.5</v>
      </c>
      <c r="N188" s="57">
        <v>31</v>
      </c>
      <c r="O188" s="57">
        <v>66</v>
      </c>
      <c r="P188" s="57">
        <v>27</v>
      </c>
      <c r="Q188" s="57">
        <v>1</v>
      </c>
      <c r="R188" s="57">
        <v>0</v>
      </c>
      <c r="S188" s="57">
        <v>0</v>
      </c>
      <c r="T188" s="59">
        <v>0</v>
      </c>
      <c r="U188" s="59">
        <v>0</v>
      </c>
      <c r="V188" s="59">
        <v>0</v>
      </c>
      <c r="W188" s="57">
        <f t="shared" si="13"/>
        <v>0.59499795954060519</v>
      </c>
      <c r="X188" s="57">
        <f t="shared" si="14"/>
        <v>2.2036961464466858E-2</v>
      </c>
      <c r="Y188" s="57">
        <f t="shared" si="15"/>
        <v>0</v>
      </c>
      <c r="Z188" s="57">
        <f t="shared" si="16"/>
        <v>0</v>
      </c>
      <c r="AA188" s="57">
        <f t="shared" si="17"/>
        <v>0</v>
      </c>
      <c r="AB188" s="57" t="s">
        <v>44</v>
      </c>
    </row>
    <row r="189" spans="1:28">
      <c r="A189" s="53">
        <v>42443</v>
      </c>
      <c r="B189" s="54">
        <v>0.40625</v>
      </c>
      <c r="C189" s="53">
        <v>42444</v>
      </c>
      <c r="D189" s="54">
        <v>0.5</v>
      </c>
      <c r="E189" s="55">
        <v>26.25</v>
      </c>
      <c r="F189" s="56">
        <v>2</v>
      </c>
      <c r="G189" s="56">
        <v>2.4</v>
      </c>
      <c r="H189" s="57">
        <v>957</v>
      </c>
      <c r="I189" s="57">
        <v>2401</v>
      </c>
      <c r="J189" s="55">
        <f t="shared" si="20"/>
        <v>24.648611111111112</v>
      </c>
      <c r="K189" s="57">
        <v>27100</v>
      </c>
      <c r="L189" s="57">
        <v>52</v>
      </c>
      <c r="M189" s="58">
        <v>247</v>
      </c>
      <c r="N189" s="57">
        <v>36</v>
      </c>
      <c r="O189" s="57">
        <v>65</v>
      </c>
      <c r="P189" s="57">
        <v>50</v>
      </c>
      <c r="Q189" s="57">
        <v>1</v>
      </c>
      <c r="R189" s="57">
        <v>0</v>
      </c>
      <c r="S189" s="57">
        <v>0</v>
      </c>
      <c r="T189" s="59">
        <v>0</v>
      </c>
      <c r="U189" s="59">
        <v>0</v>
      </c>
      <c r="V189" s="59">
        <v>1</v>
      </c>
      <c r="W189" s="57">
        <f t="shared" si="13"/>
        <v>2.0285118611596324</v>
      </c>
      <c r="X189" s="57">
        <f t="shared" si="14"/>
        <v>4.0570237223192654E-2</v>
      </c>
      <c r="Y189" s="57">
        <f t="shared" si="15"/>
        <v>0</v>
      </c>
      <c r="Z189" s="57">
        <f t="shared" si="16"/>
        <v>0</v>
      </c>
      <c r="AA189" s="57">
        <f t="shared" si="17"/>
        <v>0</v>
      </c>
      <c r="AB189" s="57" t="s">
        <v>44</v>
      </c>
    </row>
    <row r="190" spans="1:28">
      <c r="A190" s="53">
        <v>42444</v>
      </c>
      <c r="B190" s="54">
        <v>0.5</v>
      </c>
      <c r="C190" s="53">
        <v>42445</v>
      </c>
      <c r="D190" s="54">
        <v>0.52083333333333337</v>
      </c>
      <c r="E190" s="55">
        <v>24.5</v>
      </c>
      <c r="F190" s="56">
        <v>2</v>
      </c>
      <c r="G190" s="56">
        <v>2.9</v>
      </c>
      <c r="H190" s="57">
        <v>1003</v>
      </c>
      <c r="I190" s="57">
        <v>1775</v>
      </c>
      <c r="J190" s="55">
        <f t="shared" si="20"/>
        <v>18.559482758620689</v>
      </c>
      <c r="K190" s="57">
        <v>26500</v>
      </c>
      <c r="L190" s="57">
        <v>54</v>
      </c>
      <c r="M190" s="58">
        <v>181.55</v>
      </c>
      <c r="N190" s="57">
        <v>34</v>
      </c>
      <c r="O190" s="57">
        <v>79</v>
      </c>
      <c r="P190" s="57">
        <v>54</v>
      </c>
      <c r="Q190" s="57">
        <v>2</v>
      </c>
      <c r="R190" s="57">
        <v>0</v>
      </c>
      <c r="S190" s="57">
        <v>0</v>
      </c>
      <c r="T190" s="59">
        <v>1</v>
      </c>
      <c r="U190" s="59">
        <v>0</v>
      </c>
      <c r="V190" s="59">
        <v>0</v>
      </c>
      <c r="W190" s="57">
        <f t="shared" si="13"/>
        <v>2.9095638441172373</v>
      </c>
      <c r="X190" s="57">
        <f t="shared" si="14"/>
        <v>0.10776162385619398</v>
      </c>
      <c r="Y190" s="57">
        <f t="shared" si="15"/>
        <v>0</v>
      </c>
      <c r="Z190" s="57">
        <f t="shared" si="16"/>
        <v>0</v>
      </c>
      <c r="AA190" s="57">
        <f t="shared" si="17"/>
        <v>0</v>
      </c>
      <c r="AB190" s="57" t="s">
        <v>56</v>
      </c>
    </row>
    <row r="191" spans="1:28">
      <c r="A191" s="53">
        <v>42445</v>
      </c>
      <c r="B191" s="54">
        <v>0.52083333333333337</v>
      </c>
      <c r="C191" s="53">
        <v>42446</v>
      </c>
      <c r="D191" s="54">
        <v>0.4375</v>
      </c>
      <c r="E191" s="55">
        <v>22</v>
      </c>
      <c r="F191" s="56">
        <v>2.5</v>
      </c>
      <c r="G191" s="56">
        <v>2.6</v>
      </c>
      <c r="H191" s="57">
        <v>2367</v>
      </c>
      <c r="I191" s="57">
        <v>2746</v>
      </c>
      <c r="J191" s="55">
        <f t="shared" si="20"/>
        <v>33.382564102564103</v>
      </c>
      <c r="K191" s="57">
        <v>25700</v>
      </c>
      <c r="L191" s="57">
        <v>53</v>
      </c>
      <c r="M191" s="58">
        <v>136.6</v>
      </c>
      <c r="N191" s="57">
        <v>33</v>
      </c>
      <c r="O191" s="57">
        <v>63</v>
      </c>
      <c r="P191" s="57">
        <v>48</v>
      </c>
      <c r="Q191" s="57">
        <v>0</v>
      </c>
      <c r="R191" s="57">
        <v>0</v>
      </c>
      <c r="S191" s="57">
        <v>0</v>
      </c>
      <c r="T191" s="59">
        <v>1</v>
      </c>
      <c r="U191" s="59">
        <v>0</v>
      </c>
      <c r="V191" s="59">
        <v>0</v>
      </c>
      <c r="W191" s="57">
        <f t="shared" si="13"/>
        <v>1.4378763672115029</v>
      </c>
      <c r="X191" s="57">
        <f t="shared" si="14"/>
        <v>0</v>
      </c>
      <c r="Y191" s="57">
        <f t="shared" si="15"/>
        <v>0</v>
      </c>
      <c r="Z191" s="57">
        <f t="shared" si="16"/>
        <v>0</v>
      </c>
      <c r="AA191" s="57">
        <f t="shared" si="17"/>
        <v>0</v>
      </c>
      <c r="AB191" s="57" t="s">
        <v>44</v>
      </c>
    </row>
    <row r="192" spans="1:28">
      <c r="A192" s="53">
        <v>42446</v>
      </c>
      <c r="B192" s="54">
        <v>0.4375</v>
      </c>
      <c r="C192" s="53">
        <v>42447</v>
      </c>
      <c r="D192" s="54">
        <v>0.41666666666666669</v>
      </c>
      <c r="E192" s="55">
        <v>23.5</v>
      </c>
      <c r="F192" s="56">
        <v>1.8</v>
      </c>
      <c r="G192" s="56">
        <v>2.6</v>
      </c>
      <c r="H192" s="57">
        <v>542</v>
      </c>
      <c r="I192" s="57">
        <v>556</v>
      </c>
      <c r="J192" s="55">
        <f t="shared" si="20"/>
        <v>8.5826210826210811</v>
      </c>
      <c r="K192" s="57">
        <v>24700</v>
      </c>
      <c r="L192" s="57">
        <v>54</v>
      </c>
      <c r="M192" s="58">
        <v>99.7</v>
      </c>
      <c r="N192" s="57">
        <v>37</v>
      </c>
      <c r="O192" s="57">
        <v>63</v>
      </c>
      <c r="P192" s="57">
        <v>13</v>
      </c>
      <c r="Q192" s="57">
        <v>0</v>
      </c>
      <c r="R192" s="57">
        <v>0</v>
      </c>
      <c r="S192" s="57">
        <v>0</v>
      </c>
      <c r="T192" s="59">
        <v>0</v>
      </c>
      <c r="U192" s="59">
        <v>0</v>
      </c>
      <c r="V192" s="59">
        <v>2</v>
      </c>
      <c r="W192" s="57">
        <f t="shared" si="13"/>
        <v>1.5146887966804983</v>
      </c>
      <c r="X192" s="57">
        <f t="shared" si="14"/>
        <v>0</v>
      </c>
      <c r="Y192" s="57">
        <f t="shared" si="15"/>
        <v>0</v>
      </c>
      <c r="Z192" s="57">
        <f t="shared" si="16"/>
        <v>0</v>
      </c>
      <c r="AA192" s="57">
        <f t="shared" si="17"/>
        <v>0</v>
      </c>
      <c r="AB192" s="57" t="s">
        <v>44</v>
      </c>
    </row>
    <row r="193" spans="1:28">
      <c r="A193" s="53">
        <v>42447</v>
      </c>
      <c r="B193" s="54">
        <v>0.41666666666666669</v>
      </c>
      <c r="C193" s="53">
        <v>42448</v>
      </c>
      <c r="D193" s="54">
        <v>0.45833333333333331</v>
      </c>
      <c r="E193" s="55">
        <v>25</v>
      </c>
      <c r="F193" s="56">
        <v>2</v>
      </c>
      <c r="G193" s="56">
        <v>2.2000000000000002</v>
      </c>
      <c r="H193" s="57">
        <v>2733</v>
      </c>
      <c r="I193" s="57">
        <v>3083</v>
      </c>
      <c r="J193" s="55">
        <f t="shared" si="20"/>
        <v>46.131060606060601</v>
      </c>
      <c r="K193" s="57">
        <v>24000</v>
      </c>
      <c r="L193" s="57">
        <v>56</v>
      </c>
      <c r="M193" s="58">
        <v>80.3</v>
      </c>
      <c r="N193" s="57">
        <v>33</v>
      </c>
      <c r="O193" s="57">
        <v>70</v>
      </c>
      <c r="P193" s="57">
        <v>25</v>
      </c>
      <c r="Q193" s="57">
        <v>3</v>
      </c>
      <c r="R193" s="57">
        <v>0</v>
      </c>
      <c r="S193" s="57">
        <v>0</v>
      </c>
      <c r="T193" s="59">
        <v>0</v>
      </c>
      <c r="U193" s="59">
        <v>0</v>
      </c>
      <c r="V193" s="59">
        <v>0</v>
      </c>
      <c r="W193" s="57">
        <f t="shared" si="13"/>
        <v>0.54193421247105589</v>
      </c>
      <c r="X193" s="57">
        <f t="shared" si="14"/>
        <v>6.5032105496526701E-2</v>
      </c>
      <c r="Y193" s="57">
        <f t="shared" si="15"/>
        <v>0</v>
      </c>
      <c r="Z193" s="57">
        <f t="shared" si="16"/>
        <v>0</v>
      </c>
      <c r="AA193" s="57">
        <f t="shared" si="17"/>
        <v>0</v>
      </c>
      <c r="AB193" s="57" t="s">
        <v>44</v>
      </c>
    </row>
    <row r="194" spans="1:28">
      <c r="A194" s="53">
        <v>42448</v>
      </c>
      <c r="B194" s="54">
        <v>0.45833333333333331</v>
      </c>
      <c r="C194" s="53">
        <v>42449</v>
      </c>
      <c r="D194" s="54">
        <v>0.38541666666666669</v>
      </c>
      <c r="E194" s="55">
        <v>22.25</v>
      </c>
      <c r="F194" s="56">
        <v>2</v>
      </c>
      <c r="G194" s="56">
        <v>2.4</v>
      </c>
      <c r="H194" s="57">
        <v>2590</v>
      </c>
      <c r="I194" s="57">
        <v>2945</v>
      </c>
      <c r="J194" s="55">
        <f t="shared" si="20"/>
        <v>42.034722222222221</v>
      </c>
      <c r="K194" s="57">
        <v>25100</v>
      </c>
      <c r="L194" s="57">
        <v>57</v>
      </c>
      <c r="M194" s="58">
        <v>74.95</v>
      </c>
      <c r="N194" s="57">
        <v>35</v>
      </c>
      <c r="O194" s="57">
        <v>86</v>
      </c>
      <c r="P194" s="57">
        <v>13</v>
      </c>
      <c r="Q194" s="57">
        <v>2</v>
      </c>
      <c r="R194" s="57">
        <v>0</v>
      </c>
      <c r="S194" s="57">
        <v>0</v>
      </c>
      <c r="T194" s="59">
        <v>0</v>
      </c>
      <c r="U194" s="59">
        <v>0</v>
      </c>
      <c r="V194" s="59">
        <v>0</v>
      </c>
      <c r="W194" s="57">
        <f t="shared" si="13"/>
        <v>0.30926813150503885</v>
      </c>
      <c r="X194" s="57">
        <f t="shared" si="14"/>
        <v>4.7579712539236742E-2</v>
      </c>
      <c r="Y194" s="57">
        <f t="shared" si="15"/>
        <v>0</v>
      </c>
      <c r="Z194" s="57">
        <f t="shared" si="16"/>
        <v>0</v>
      </c>
      <c r="AA194" s="57">
        <f t="shared" si="17"/>
        <v>0</v>
      </c>
      <c r="AB194" s="57" t="s">
        <v>44</v>
      </c>
    </row>
    <row r="195" spans="1:28">
      <c r="A195" s="53">
        <v>42449</v>
      </c>
      <c r="B195" s="54">
        <v>0.38541666666666669</v>
      </c>
      <c r="C195" s="53">
        <v>42450</v>
      </c>
      <c r="D195" s="54">
        <v>0.39583333333333331</v>
      </c>
      <c r="E195" s="55">
        <v>24.25</v>
      </c>
      <c r="F195" s="56">
        <v>2.1</v>
      </c>
      <c r="G195" s="56">
        <v>2.4</v>
      </c>
      <c r="H195" s="57">
        <v>2964</v>
      </c>
      <c r="I195" s="57">
        <v>3345</v>
      </c>
      <c r="J195" s="55">
        <f t="shared" si="20"/>
        <v>46.75297619047619</v>
      </c>
      <c r="K195" s="57">
        <v>25400</v>
      </c>
      <c r="L195" s="57">
        <v>56</v>
      </c>
      <c r="M195" s="58">
        <v>65.75</v>
      </c>
      <c r="N195" s="57">
        <v>35</v>
      </c>
      <c r="O195" s="57">
        <v>70</v>
      </c>
      <c r="P195" s="57">
        <v>14</v>
      </c>
      <c r="Q195" s="57">
        <v>2</v>
      </c>
      <c r="R195" s="57">
        <v>0</v>
      </c>
      <c r="S195" s="57">
        <v>0</v>
      </c>
      <c r="T195" s="59">
        <v>1</v>
      </c>
      <c r="U195" s="59">
        <v>0</v>
      </c>
      <c r="V195" s="59">
        <v>1</v>
      </c>
      <c r="W195" s="57">
        <f t="shared" si="13"/>
        <v>0.29944617735056339</v>
      </c>
      <c r="X195" s="57">
        <f t="shared" si="14"/>
        <v>4.2778025335794771E-2</v>
      </c>
      <c r="Y195" s="57">
        <f t="shared" si="15"/>
        <v>0</v>
      </c>
      <c r="Z195" s="57">
        <f t="shared" si="16"/>
        <v>0</v>
      </c>
      <c r="AA195" s="57">
        <f t="shared" si="17"/>
        <v>0</v>
      </c>
      <c r="AB195" s="57" t="s">
        <v>44</v>
      </c>
    </row>
    <row r="196" spans="1:28">
      <c r="A196" s="46">
        <v>42450</v>
      </c>
      <c r="B196" s="47">
        <v>0.41666666666666669</v>
      </c>
      <c r="C196" s="46">
        <v>42451</v>
      </c>
      <c r="D196" s="47">
        <v>0.39583333333333331</v>
      </c>
      <c r="E196" s="48">
        <v>23.5</v>
      </c>
      <c r="F196" s="49">
        <v>2.1</v>
      </c>
      <c r="G196" s="49">
        <v>2.6</v>
      </c>
      <c r="H196" s="4">
        <v>3061</v>
      </c>
      <c r="I196" s="4">
        <v>3480</v>
      </c>
      <c r="J196" s="48">
        <f t="shared" si="20"/>
        <v>46.601343101343097</v>
      </c>
      <c r="K196" s="4">
        <v>25700</v>
      </c>
      <c r="L196" s="4">
        <v>55</v>
      </c>
      <c r="M196" s="50">
        <v>54</v>
      </c>
      <c r="N196" s="4">
        <v>33</v>
      </c>
      <c r="O196" s="4">
        <v>65</v>
      </c>
      <c r="P196" s="4">
        <v>43</v>
      </c>
      <c r="Q196" s="4">
        <v>0</v>
      </c>
      <c r="R196" s="4">
        <v>0</v>
      </c>
      <c r="S196" s="4">
        <v>0</v>
      </c>
      <c r="T196" s="51">
        <v>0</v>
      </c>
      <c r="U196" s="51">
        <v>0</v>
      </c>
      <c r="V196" s="51">
        <v>0</v>
      </c>
      <c r="W196" s="4">
        <f t="shared" si="13"/>
        <v>0.92272018655103305</v>
      </c>
      <c r="X196" s="4">
        <f t="shared" si="14"/>
        <v>0</v>
      </c>
      <c r="Y196" s="4">
        <f t="shared" si="15"/>
        <v>0</v>
      </c>
      <c r="Z196" s="4">
        <f t="shared" si="16"/>
        <v>0</v>
      </c>
      <c r="AA196" s="4">
        <f t="shared" si="17"/>
        <v>0</v>
      </c>
      <c r="AB196" s="4" t="s">
        <v>57</v>
      </c>
    </row>
    <row r="197" spans="1:28">
      <c r="A197" s="46">
        <v>42451</v>
      </c>
      <c r="B197" s="47">
        <v>0.39583333333333331</v>
      </c>
      <c r="C197" s="46">
        <v>42452</v>
      </c>
      <c r="D197" s="47">
        <v>0.41666666666666669</v>
      </c>
      <c r="E197" s="48">
        <v>24.5</v>
      </c>
      <c r="F197" s="49">
        <v>2.2999999999999998</v>
      </c>
      <c r="G197" s="49">
        <v>2.2999999999999998</v>
      </c>
      <c r="H197" s="4">
        <v>1491</v>
      </c>
      <c r="I197" s="4">
        <v>1771</v>
      </c>
      <c r="J197" s="48">
        <f t="shared" si="20"/>
        <v>23.637681159420293</v>
      </c>
      <c r="K197" s="4">
        <v>26000</v>
      </c>
      <c r="L197" s="4">
        <v>54</v>
      </c>
      <c r="M197" s="50">
        <v>76.400000000000006</v>
      </c>
      <c r="N197" s="4">
        <v>42</v>
      </c>
      <c r="O197" s="4">
        <v>63</v>
      </c>
      <c r="P197" s="4">
        <v>6</v>
      </c>
      <c r="Q197" s="4">
        <v>0</v>
      </c>
      <c r="R197" s="4">
        <v>0</v>
      </c>
      <c r="S197" s="4">
        <v>0</v>
      </c>
      <c r="T197" s="51">
        <v>0</v>
      </c>
      <c r="U197" s="51">
        <v>0</v>
      </c>
      <c r="V197" s="51">
        <v>0</v>
      </c>
      <c r="W197" s="4">
        <f t="shared" si="13"/>
        <v>0.25383200490496627</v>
      </c>
      <c r="X197" s="4">
        <f t="shared" si="14"/>
        <v>0</v>
      </c>
      <c r="Y197" s="4">
        <f t="shared" si="15"/>
        <v>0</v>
      </c>
      <c r="Z197" s="4">
        <f t="shared" si="16"/>
        <v>0</v>
      </c>
      <c r="AA197" s="4">
        <f t="shared" si="17"/>
        <v>0</v>
      </c>
      <c r="AB197" s="4" t="s">
        <v>58</v>
      </c>
    </row>
    <row r="198" spans="1:28">
      <c r="A198" s="46">
        <v>42452</v>
      </c>
      <c r="B198" s="47">
        <v>0.51041666666666663</v>
      </c>
      <c r="C198" s="46">
        <v>42453</v>
      </c>
      <c r="D198" s="47">
        <v>0.42708333333333331</v>
      </c>
      <c r="E198" s="48">
        <v>22</v>
      </c>
      <c r="F198" s="49">
        <v>2.5</v>
      </c>
      <c r="G198" s="49">
        <v>2.8</v>
      </c>
      <c r="H198" s="4">
        <v>2886</v>
      </c>
      <c r="I198" s="4">
        <v>3524</v>
      </c>
      <c r="J198" s="48">
        <f t="shared" si="20"/>
        <v>40.216190476190484</v>
      </c>
      <c r="K198" s="4">
        <v>25600</v>
      </c>
      <c r="L198" s="4">
        <v>53</v>
      </c>
      <c r="M198" s="50">
        <v>76.400000000000006</v>
      </c>
      <c r="N198" s="4">
        <v>36</v>
      </c>
      <c r="O198" s="4">
        <v>93</v>
      </c>
      <c r="P198" s="4">
        <v>77</v>
      </c>
      <c r="Q198" s="4">
        <v>19</v>
      </c>
      <c r="R198" s="4">
        <v>0</v>
      </c>
      <c r="S198" s="4">
        <v>0</v>
      </c>
      <c r="T198" s="51">
        <v>0</v>
      </c>
      <c r="U198" s="51">
        <v>0</v>
      </c>
      <c r="V198" s="51">
        <v>1</v>
      </c>
      <c r="W198" s="4">
        <f t="shared" si="13"/>
        <v>1.9146517630899658</v>
      </c>
      <c r="X198" s="4">
        <f t="shared" si="14"/>
        <v>0.47244653894427729</v>
      </c>
      <c r="Y198" s="4">
        <f t="shared" si="15"/>
        <v>0</v>
      </c>
      <c r="Z198" s="4">
        <f t="shared" si="16"/>
        <v>0</v>
      </c>
      <c r="AA198" s="4">
        <f t="shared" si="17"/>
        <v>0</v>
      </c>
    </row>
    <row r="199" spans="1:28">
      <c r="A199" s="46">
        <v>42453</v>
      </c>
      <c r="B199" s="47">
        <v>0.42708333333333331</v>
      </c>
      <c r="C199" s="46">
        <v>42454</v>
      </c>
      <c r="D199" s="47">
        <v>0.41666666666666669</v>
      </c>
      <c r="E199" s="48">
        <v>23.75</v>
      </c>
      <c r="F199" s="49">
        <v>2</v>
      </c>
      <c r="G199" s="49">
        <v>2.2999999999999998</v>
      </c>
      <c r="H199" s="4">
        <v>3232</v>
      </c>
      <c r="I199" s="4">
        <v>3689</v>
      </c>
      <c r="J199" s="48">
        <f t="shared" si="20"/>
        <v>53.665217391304353</v>
      </c>
      <c r="K199" s="4">
        <v>24900</v>
      </c>
      <c r="L199" s="4">
        <v>54</v>
      </c>
      <c r="M199" s="50">
        <v>41.3</v>
      </c>
      <c r="N199" s="4">
        <v>33</v>
      </c>
      <c r="O199" s="4">
        <v>87</v>
      </c>
      <c r="P199" s="4">
        <v>48</v>
      </c>
      <c r="Q199" s="4">
        <v>17</v>
      </c>
      <c r="R199" s="4">
        <v>0</v>
      </c>
      <c r="S199" s="4">
        <v>0</v>
      </c>
      <c r="T199" s="51">
        <v>0</v>
      </c>
      <c r="U199" s="51">
        <v>0</v>
      </c>
      <c r="V199" s="51">
        <v>0</v>
      </c>
      <c r="W199" s="4">
        <f t="shared" ref="W199:W206" si="21">P199/J199</f>
        <v>0.89443409219800685</v>
      </c>
      <c r="X199" s="4">
        <f t="shared" ref="X199:X206" si="22">Q199/J199</f>
        <v>0.31677874098679409</v>
      </c>
      <c r="Y199" s="4">
        <f t="shared" ref="Y199:Y204" si="23">R199/J199</f>
        <v>0</v>
      </c>
      <c r="Z199" s="4">
        <f t="shared" ref="Z199:Z204" si="24">S199/J199</f>
        <v>0</v>
      </c>
      <c r="AA199" s="4">
        <f t="shared" ref="AA199:AA206" si="25">U199/J199</f>
        <v>0</v>
      </c>
    </row>
    <row r="200" spans="1:28">
      <c r="A200" s="46">
        <v>42454</v>
      </c>
      <c r="B200" s="47">
        <v>0.41666666666666669</v>
      </c>
      <c r="C200" s="46">
        <v>42455</v>
      </c>
      <c r="D200" s="47">
        <v>0.41666666666666669</v>
      </c>
      <c r="E200" s="48">
        <v>24</v>
      </c>
      <c r="F200" s="49">
        <v>2.8</v>
      </c>
      <c r="G200" s="49">
        <v>3.1</v>
      </c>
      <c r="H200" s="4">
        <v>1552</v>
      </c>
      <c r="I200" s="4">
        <v>3723</v>
      </c>
      <c r="J200" s="48">
        <f t="shared" si="20"/>
        <v>29.254224270353301</v>
      </c>
      <c r="K200" s="4">
        <v>24000</v>
      </c>
      <c r="L200" s="4">
        <v>55</v>
      </c>
      <c r="M200" s="50">
        <v>36.200000000000003</v>
      </c>
      <c r="N200" s="4">
        <v>36</v>
      </c>
      <c r="O200" s="4">
        <v>92</v>
      </c>
      <c r="P200" s="4">
        <v>24</v>
      </c>
      <c r="Q200" s="4">
        <v>12</v>
      </c>
      <c r="R200" s="4">
        <v>0</v>
      </c>
      <c r="S200" s="4">
        <v>0</v>
      </c>
      <c r="T200" s="51">
        <v>1</v>
      </c>
      <c r="U200" s="51">
        <v>1</v>
      </c>
      <c r="V200" s="51">
        <v>0</v>
      </c>
      <c r="W200" s="4">
        <f t="shared" si="21"/>
        <v>0.82039433957310515</v>
      </c>
      <c r="X200" s="4">
        <f t="shared" si="22"/>
        <v>0.41019716978655257</v>
      </c>
      <c r="Y200" s="4">
        <f t="shared" si="23"/>
        <v>0</v>
      </c>
      <c r="Z200" s="4">
        <f t="shared" si="24"/>
        <v>0</v>
      </c>
      <c r="AA200" s="4">
        <f t="shared" si="25"/>
        <v>3.4183097482212717E-2</v>
      </c>
    </row>
    <row r="201" spans="1:28">
      <c r="A201" s="46">
        <v>42455</v>
      </c>
      <c r="B201" s="47">
        <v>0.41666666666666669</v>
      </c>
      <c r="C201" s="46">
        <v>42456</v>
      </c>
      <c r="D201" s="47">
        <v>0.39583333333333331</v>
      </c>
      <c r="E201" s="48">
        <v>23.5</v>
      </c>
      <c r="F201" s="49">
        <v>2.2999999999999998</v>
      </c>
      <c r="G201" s="49">
        <v>2.6</v>
      </c>
      <c r="H201" s="4">
        <v>3388</v>
      </c>
      <c r="I201" s="4">
        <v>3730</v>
      </c>
      <c r="J201" s="48">
        <f t="shared" si="20"/>
        <v>48.460981047937572</v>
      </c>
      <c r="K201" s="4">
        <v>23100</v>
      </c>
      <c r="L201" s="4">
        <v>55</v>
      </c>
      <c r="M201" s="50">
        <v>34.25</v>
      </c>
      <c r="N201" s="4">
        <v>38</v>
      </c>
      <c r="O201" s="4">
        <v>80</v>
      </c>
      <c r="P201" s="4">
        <v>31</v>
      </c>
      <c r="Q201" s="4">
        <v>30</v>
      </c>
      <c r="R201" s="4">
        <v>0</v>
      </c>
      <c r="S201" s="4">
        <v>0</v>
      </c>
      <c r="T201" s="51">
        <v>6</v>
      </c>
      <c r="U201" s="51">
        <v>0</v>
      </c>
      <c r="V201" s="51">
        <v>0</v>
      </c>
      <c r="W201" s="4">
        <f t="shared" si="21"/>
        <v>0.63968989751434913</v>
      </c>
      <c r="X201" s="4">
        <f t="shared" si="22"/>
        <v>0.61905473953001522</v>
      </c>
      <c r="Y201" s="4">
        <f t="shared" si="23"/>
        <v>0</v>
      </c>
      <c r="Z201" s="4">
        <f t="shared" si="24"/>
        <v>0</v>
      </c>
      <c r="AA201" s="4">
        <f t="shared" si="25"/>
        <v>0</v>
      </c>
    </row>
    <row r="202" spans="1:28">
      <c r="A202" s="46">
        <v>42456</v>
      </c>
      <c r="B202" s="47">
        <v>0.39583333333333331</v>
      </c>
      <c r="C202" s="46">
        <v>42457</v>
      </c>
      <c r="D202" s="47">
        <v>0.42708333333333331</v>
      </c>
      <c r="E202" s="48">
        <v>24.75</v>
      </c>
      <c r="F202" s="49">
        <v>3.1</v>
      </c>
      <c r="G202" s="49">
        <v>3</v>
      </c>
      <c r="H202" s="4">
        <v>702</v>
      </c>
      <c r="I202" s="4">
        <v>3728</v>
      </c>
      <c r="J202" s="48">
        <f t="shared" si="20"/>
        <v>24.485304659498208</v>
      </c>
      <c r="K202" s="4">
        <v>21200</v>
      </c>
      <c r="L202" s="4">
        <v>56</v>
      </c>
      <c r="M202" s="50">
        <v>37.75</v>
      </c>
      <c r="N202" s="4">
        <v>34</v>
      </c>
      <c r="O202" s="4">
        <v>81</v>
      </c>
      <c r="P202" s="4">
        <v>23</v>
      </c>
      <c r="Q202" s="4">
        <v>26</v>
      </c>
      <c r="R202" s="4">
        <v>0</v>
      </c>
      <c r="S202" s="4">
        <v>0</v>
      </c>
      <c r="T202" s="51">
        <v>6</v>
      </c>
      <c r="U202" s="51">
        <v>0</v>
      </c>
      <c r="V202" s="51">
        <v>0</v>
      </c>
      <c r="W202" s="4">
        <f t="shared" si="21"/>
        <v>0.939338934918172</v>
      </c>
      <c r="X202" s="4">
        <f t="shared" si="22"/>
        <v>1.0618614046901074</v>
      </c>
      <c r="Y202" s="4">
        <f t="shared" si="23"/>
        <v>0</v>
      </c>
      <c r="Z202" s="4">
        <f t="shared" si="24"/>
        <v>0</v>
      </c>
      <c r="AA202" s="4">
        <f t="shared" si="25"/>
        <v>0</v>
      </c>
    </row>
    <row r="203" spans="1:28">
      <c r="A203" s="46">
        <v>42457</v>
      </c>
      <c r="B203" s="47">
        <v>0.42708333333333331</v>
      </c>
      <c r="C203" s="46">
        <v>42458</v>
      </c>
      <c r="D203" s="47">
        <v>0.44791666666666669</v>
      </c>
      <c r="E203" s="48">
        <v>24.5</v>
      </c>
      <c r="F203" s="49">
        <v>2.7</v>
      </c>
      <c r="G203" s="49">
        <v>3.2</v>
      </c>
      <c r="H203" s="4">
        <v>3706</v>
      </c>
      <c r="I203" s="4">
        <v>4177</v>
      </c>
      <c r="J203" s="48">
        <f t="shared" si="20"/>
        <v>44.63175154320988</v>
      </c>
      <c r="K203" s="4">
        <v>18400</v>
      </c>
      <c r="L203" s="4">
        <v>55</v>
      </c>
      <c r="M203" s="50">
        <v>40</v>
      </c>
      <c r="N203" s="4">
        <v>36</v>
      </c>
      <c r="O203" s="4">
        <v>90</v>
      </c>
      <c r="P203" s="4">
        <v>32</v>
      </c>
      <c r="Q203" s="4">
        <v>47</v>
      </c>
      <c r="R203" s="4">
        <v>0</v>
      </c>
      <c r="S203" s="4">
        <v>0</v>
      </c>
      <c r="T203" s="51">
        <v>0</v>
      </c>
      <c r="U203" s="51">
        <v>2</v>
      </c>
      <c r="V203" s="51">
        <v>0</v>
      </c>
      <c r="W203" s="4">
        <f t="shared" si="21"/>
        <v>0.71697835943138932</v>
      </c>
      <c r="X203" s="4">
        <f t="shared" si="22"/>
        <v>1.0530619654148532</v>
      </c>
      <c r="Y203" s="4">
        <f t="shared" si="23"/>
        <v>0</v>
      </c>
      <c r="Z203" s="4">
        <f t="shared" si="24"/>
        <v>0</v>
      </c>
      <c r="AA203" s="4">
        <f t="shared" si="25"/>
        <v>4.4811147464461833E-2</v>
      </c>
    </row>
    <row r="204" spans="1:28">
      <c r="A204" s="46">
        <v>42458</v>
      </c>
      <c r="B204" s="47">
        <v>0.44791666666666669</v>
      </c>
      <c r="C204" s="46">
        <v>42459</v>
      </c>
      <c r="D204" s="47">
        <v>0.46875</v>
      </c>
      <c r="E204" s="48">
        <v>24.5</v>
      </c>
      <c r="F204" s="49">
        <v>2.2999999999999998</v>
      </c>
      <c r="G204" s="49">
        <v>2.8</v>
      </c>
      <c r="H204" s="4">
        <v>3506</v>
      </c>
      <c r="I204" s="4">
        <v>3829</v>
      </c>
      <c r="J204" s="48">
        <f t="shared" si="20"/>
        <v>48.197463768115952</v>
      </c>
      <c r="K204" s="4">
        <v>15600</v>
      </c>
      <c r="L204" s="4">
        <v>55</v>
      </c>
      <c r="M204" s="50">
        <v>36.950000000000003</v>
      </c>
      <c r="N204" s="4">
        <v>43</v>
      </c>
      <c r="O204" s="4">
        <v>83</v>
      </c>
      <c r="P204" s="4">
        <v>21</v>
      </c>
      <c r="Q204" s="4">
        <v>26</v>
      </c>
      <c r="R204" s="4">
        <v>0</v>
      </c>
      <c r="S204" s="4">
        <v>0</v>
      </c>
      <c r="T204" s="51">
        <v>4</v>
      </c>
      <c r="U204" s="51">
        <v>0</v>
      </c>
      <c r="V204" s="51">
        <v>1</v>
      </c>
      <c r="W204" s="4">
        <f t="shared" si="21"/>
        <v>0.43570757376432995</v>
      </c>
      <c r="X204" s="4">
        <f t="shared" si="22"/>
        <v>0.53944747227964662</v>
      </c>
      <c r="Y204" s="4">
        <f t="shared" si="23"/>
        <v>0</v>
      </c>
      <c r="Z204" s="4">
        <f t="shared" si="24"/>
        <v>0</v>
      </c>
      <c r="AA204" s="4">
        <f t="shared" si="25"/>
        <v>0</v>
      </c>
      <c r="AB204" s="4" t="s">
        <v>59</v>
      </c>
    </row>
    <row r="205" spans="1:28">
      <c r="A205" s="46">
        <v>42459</v>
      </c>
      <c r="B205" s="47">
        <v>0.46875</v>
      </c>
      <c r="C205" s="46">
        <v>42460</v>
      </c>
      <c r="D205" s="47">
        <v>0.4375</v>
      </c>
      <c r="E205" s="48">
        <v>23.25</v>
      </c>
      <c r="F205" s="49">
        <v>2.4</v>
      </c>
      <c r="G205" s="49">
        <v>2.7</v>
      </c>
      <c r="H205" s="4">
        <v>3151</v>
      </c>
      <c r="I205" s="4">
        <v>3671</v>
      </c>
      <c r="J205" s="48">
        <f t="shared" si="20"/>
        <v>44.542438271604944</v>
      </c>
      <c r="K205" s="4">
        <v>14200</v>
      </c>
      <c r="L205" s="4">
        <v>57</v>
      </c>
      <c r="M205" s="50">
        <v>33.200000000000003</v>
      </c>
      <c r="N205" s="4">
        <v>48</v>
      </c>
      <c r="O205" s="4">
        <v>87</v>
      </c>
      <c r="P205" s="4">
        <v>17</v>
      </c>
      <c r="Q205" s="4">
        <v>49</v>
      </c>
      <c r="R205" s="4">
        <v>0</v>
      </c>
      <c r="S205" s="4">
        <v>0</v>
      </c>
      <c r="T205" s="51">
        <v>9</v>
      </c>
      <c r="U205" s="51">
        <v>0</v>
      </c>
      <c r="V205" s="51">
        <v>0</v>
      </c>
      <c r="W205" s="4">
        <f t="shared" si="21"/>
        <v>0.38165849602439061</v>
      </c>
      <c r="X205" s="4">
        <f t="shared" si="22"/>
        <v>1.1000744885408906</v>
      </c>
      <c r="AA205" s="4">
        <f t="shared" si="25"/>
        <v>0</v>
      </c>
    </row>
    <row r="206" spans="1:28">
      <c r="A206" s="46">
        <v>42460</v>
      </c>
      <c r="B206" s="47">
        <v>0.4375</v>
      </c>
      <c r="C206" s="46">
        <v>42461</v>
      </c>
      <c r="D206" s="47">
        <v>0.4375</v>
      </c>
      <c r="E206" s="48">
        <v>24</v>
      </c>
      <c r="F206" s="49">
        <v>2.6</v>
      </c>
      <c r="G206" s="49">
        <v>2.7</v>
      </c>
      <c r="H206" s="4">
        <v>3498</v>
      </c>
      <c r="I206" s="4">
        <v>3698</v>
      </c>
      <c r="J206" s="48">
        <f t="shared" si="20"/>
        <v>45.250237416904078</v>
      </c>
      <c r="K206" s="4">
        <v>13300</v>
      </c>
      <c r="L206" s="4">
        <v>59</v>
      </c>
      <c r="M206" s="50">
        <v>38</v>
      </c>
      <c r="N206" s="4">
        <v>39</v>
      </c>
      <c r="O206" s="4">
        <v>86</v>
      </c>
      <c r="P206" s="4">
        <v>14</v>
      </c>
      <c r="Q206" s="4">
        <v>49</v>
      </c>
      <c r="R206" s="4">
        <v>0</v>
      </c>
      <c r="S206" s="4">
        <v>0</v>
      </c>
      <c r="T206" s="51">
        <v>18</v>
      </c>
      <c r="U206" s="51">
        <v>0</v>
      </c>
      <c r="V206" s="51">
        <v>0</v>
      </c>
      <c r="W206" s="4">
        <f t="shared" si="21"/>
        <v>0.30939064188799231</v>
      </c>
      <c r="X206" s="4">
        <f t="shared" si="22"/>
        <v>1.0828672466079732</v>
      </c>
      <c r="AA206" s="4">
        <f t="shared" si="25"/>
        <v>0</v>
      </c>
    </row>
  </sheetData>
  <mergeCells count="15">
    <mergeCell ref="A1:X1"/>
    <mergeCell ref="A2:X2"/>
    <mergeCell ref="A4:A5"/>
    <mergeCell ref="B4:B5"/>
    <mergeCell ref="C4:C5"/>
    <mergeCell ref="D4:D5"/>
    <mergeCell ref="E4:E5"/>
    <mergeCell ref="F4:G4"/>
    <mergeCell ref="H4:I4"/>
    <mergeCell ref="J4:J5"/>
    <mergeCell ref="K4:M4"/>
    <mergeCell ref="N4:S4"/>
    <mergeCell ref="U4:U5"/>
    <mergeCell ref="W4:AA4"/>
    <mergeCell ref="AB4:AB5"/>
  </mergeCells>
  <pageMargins left="0.75" right="0.75" top="1" bottom="1" header="0.5" footer="0.5"/>
  <pageSetup orientation="portrait" horizontalDpi="4294967292" verticalDpi="4294967292"/>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CDFW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Jeanine Phillips</dc:creator>
  <cp:lastModifiedBy>Jeanine Phillips</cp:lastModifiedBy>
  <dcterms:created xsi:type="dcterms:W3CDTF">2016-03-31T17:16:14Z</dcterms:created>
  <dcterms:modified xsi:type="dcterms:W3CDTF">2016-04-02T17:19:07Z</dcterms:modified>
</cp:coreProperties>
</file>